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PROJEKTY\17025 EPC Šluknov\01 Zadávací dokumentace\ČÁST 8 - Způsob hodnocení nabídek\"/>
    </mc:Choice>
  </mc:AlternateContent>
  <bookViews>
    <workbookView xWindow="0" yWindow="0" windowWidth="20490" windowHeight="7755" tabRatio="909" firstSheet="2" activeTab="7"/>
  </bookViews>
  <sheets>
    <sheet name="Klimadata" sheetId="47" r:id="rId1"/>
    <sheet name="01 ZŠ J. Vohradského" sheetId="43" r:id="rId2"/>
    <sheet name="02 Tělocvična ZŠ" sheetId="44" r:id="rId3"/>
    <sheet name="03 Jídelna ZŠ" sheetId="42" r:id="rId4"/>
    <sheet name="04 ZŠ Žižkova" sheetId="45" r:id="rId5"/>
    <sheet name="05 MŠ Svojsíkova 352" sheetId="40" r:id="rId6"/>
    <sheet name="06 MŠ Svojsíkova 355" sheetId="41" r:id="rId7"/>
    <sheet name="07 VO" sheetId="46" r:id="rId8"/>
    <sheet name="REFERENČNÍ SPOTŘEBY" sheetId="17" r:id="rId9"/>
    <sheet name="Investice a úspory" sheetId="19" r:id="rId10"/>
    <sheet name="Modelová nabídka" sheetId="20" r:id="rId11"/>
    <sheet name="Cenová příloha (dok. 5e ZD) " sheetId="21" r:id="rId12"/>
    <sheet name="Hodnocení nabídek" sheetId="22" r:id="rId13"/>
  </sheets>
  <calcPr calcId="152511"/>
</workbook>
</file>

<file path=xl/calcChain.xml><?xml version="1.0" encoding="utf-8"?>
<calcChain xmlns="http://schemas.openxmlformats.org/spreadsheetml/2006/main">
  <c r="Y26" i="41" l="1"/>
  <c r="Y25" i="41"/>
  <c r="Y24" i="41"/>
  <c r="Y23" i="41"/>
  <c r="Y22" i="41"/>
  <c r="Y21" i="41"/>
  <c r="Y11" i="40"/>
  <c r="Y10" i="40"/>
  <c r="Y9" i="40"/>
  <c r="Y8" i="40"/>
  <c r="Y7" i="40"/>
  <c r="Y6" i="40"/>
  <c r="Y26" i="40"/>
  <c r="Y25" i="40"/>
  <c r="Y24" i="40"/>
  <c r="Y23" i="40"/>
  <c r="Y22" i="40"/>
  <c r="Y21" i="40"/>
  <c r="O21" i="43" l="1"/>
  <c r="O9" i="43"/>
  <c r="P24" i="45" l="1"/>
  <c r="O24" i="45"/>
  <c r="P36" i="45"/>
  <c r="O36" i="45"/>
  <c r="P24" i="43"/>
  <c r="O24" i="43"/>
  <c r="P36" i="43"/>
  <c r="O36" i="43"/>
  <c r="P36" i="44"/>
  <c r="P24" i="44"/>
  <c r="O24" i="44"/>
  <c r="O36" i="44"/>
  <c r="T36" i="40"/>
  <c r="T21" i="40"/>
  <c r="S36" i="40"/>
  <c r="S21" i="40"/>
  <c r="T36" i="41"/>
  <c r="T21" i="41"/>
  <c r="S36" i="41"/>
  <c r="S21" i="41"/>
  <c r="M17" i="47" l="1"/>
  <c r="M18" i="47"/>
  <c r="M19" i="47"/>
  <c r="M20" i="47"/>
  <c r="M9" i="47"/>
  <c r="M10" i="47"/>
  <c r="M11" i="47"/>
  <c r="M12" i="47"/>
  <c r="M13" i="47"/>
  <c r="M14" i="47"/>
  <c r="N14" i="47" s="1"/>
  <c r="M15" i="47"/>
  <c r="N15" i="47" s="1"/>
  <c r="M16" i="47"/>
  <c r="N16" i="47" s="1"/>
  <c r="L22" i="47"/>
  <c r="K22" i="47" s="1"/>
  <c r="F9" i="47"/>
  <c r="F10" i="47"/>
  <c r="F11" i="47"/>
  <c r="F12" i="47"/>
  <c r="F13" i="47"/>
  <c r="F14" i="47"/>
  <c r="F15" i="47"/>
  <c r="G15" i="47" s="1"/>
  <c r="F16" i="47"/>
  <c r="G16" i="47" s="1"/>
  <c r="F17" i="47"/>
  <c r="F18" i="47"/>
  <c r="F19" i="47"/>
  <c r="F20" i="47"/>
  <c r="G14" i="47"/>
  <c r="E22" i="47"/>
  <c r="D22" i="47" s="1"/>
  <c r="V84" i="17"/>
  <c r="T84" i="17" s="1"/>
  <c r="V85" i="17"/>
  <c r="V86" i="17"/>
  <c r="T86" i="17" s="1"/>
  <c r="V87" i="17"/>
  <c r="T87" i="17" s="1"/>
  <c r="V88" i="17"/>
  <c r="T88" i="17" s="1"/>
  <c r="V78" i="17"/>
  <c r="T78" i="17" s="1"/>
  <c r="V79" i="17"/>
  <c r="T79" i="17" s="1"/>
  <c r="V80" i="17"/>
  <c r="V81" i="17"/>
  <c r="T81" i="17" s="1"/>
  <c r="V82" i="17"/>
  <c r="V77" i="17"/>
  <c r="T77" i="17" s="1"/>
  <c r="V70" i="17"/>
  <c r="V71" i="17"/>
  <c r="T71" i="17" s="1"/>
  <c r="V72" i="17"/>
  <c r="V73" i="17"/>
  <c r="T73" i="17" s="1"/>
  <c r="V74" i="17"/>
  <c r="V64" i="17"/>
  <c r="T64" i="17" s="1"/>
  <c r="V65" i="17"/>
  <c r="T65" i="17" s="1"/>
  <c r="V66" i="17"/>
  <c r="T66" i="17" s="1"/>
  <c r="V67" i="17"/>
  <c r="T67" i="17" s="1"/>
  <c r="V68" i="17"/>
  <c r="T68" i="17" s="1"/>
  <c r="V63" i="17"/>
  <c r="T80" i="17"/>
  <c r="T82" i="17"/>
  <c r="T85" i="17"/>
  <c r="T63" i="17"/>
  <c r="T70" i="17"/>
  <c r="T72" i="17"/>
  <c r="T74" i="17"/>
  <c r="AD137" i="17"/>
  <c r="Z137" i="17"/>
  <c r="Q137" i="17"/>
  <c r="L137" i="17"/>
  <c r="C139" i="17"/>
  <c r="C140" i="17"/>
  <c r="C141" i="17"/>
  <c r="C142" i="17"/>
  <c r="C143" i="17"/>
  <c r="C144" i="17"/>
  <c r="C145" i="17"/>
  <c r="B145" i="17"/>
  <c r="B144" i="17"/>
  <c r="B143" i="17"/>
  <c r="B142" i="17"/>
  <c r="B141" i="17"/>
  <c r="B140" i="17"/>
  <c r="B139" i="17"/>
  <c r="AD64" i="17"/>
  <c r="AE64" i="17" s="1"/>
  <c r="AD65" i="17"/>
  <c r="AE65" i="17" s="1"/>
  <c r="AD66" i="17"/>
  <c r="AD67" i="17"/>
  <c r="AE67" i="17" s="1"/>
  <c r="AD68" i="17"/>
  <c r="AE68" i="17" s="1"/>
  <c r="AD69" i="17"/>
  <c r="AE69" i="17" s="1"/>
  <c r="AD70" i="17"/>
  <c r="AE70" i="17" s="1"/>
  <c r="AD71" i="17"/>
  <c r="AE71" i="17" s="1"/>
  <c r="AD72" i="17"/>
  <c r="AE72" i="17" s="1"/>
  <c r="AD73" i="17"/>
  <c r="AE73" i="17" s="1"/>
  <c r="AD74" i="17"/>
  <c r="AD63" i="17"/>
  <c r="AA91" i="17"/>
  <c r="AA92" i="17"/>
  <c r="AA93" i="17"/>
  <c r="AA94" i="17"/>
  <c r="AA95" i="17"/>
  <c r="AA96" i="17"/>
  <c r="AA97" i="17"/>
  <c r="AA98" i="17"/>
  <c r="AA99" i="17"/>
  <c r="AA100" i="17"/>
  <c r="AA101" i="17"/>
  <c r="AA102" i="17"/>
  <c r="AA103" i="17"/>
  <c r="AA124" i="17" s="1"/>
  <c r="Z103" i="17"/>
  <c r="Z124" i="17" s="1"/>
  <c r="U103" i="17"/>
  <c r="U124" i="17" s="1"/>
  <c r="T103" i="17"/>
  <c r="T124" i="17"/>
  <c r="L77" i="17"/>
  <c r="L78" i="17"/>
  <c r="L79" i="17"/>
  <c r="L80" i="17"/>
  <c r="L81" i="17"/>
  <c r="L82" i="17"/>
  <c r="L83" i="17"/>
  <c r="L84" i="17"/>
  <c r="L85" i="17"/>
  <c r="L86" i="17"/>
  <c r="L87" i="17"/>
  <c r="L88" i="17"/>
  <c r="L63" i="17"/>
  <c r="L64" i="17"/>
  <c r="L65" i="17"/>
  <c r="L66" i="17"/>
  <c r="L67" i="17"/>
  <c r="L68" i="17"/>
  <c r="L69" i="17"/>
  <c r="L70" i="17"/>
  <c r="L71" i="17"/>
  <c r="L72" i="17"/>
  <c r="L73" i="17"/>
  <c r="L74" i="17"/>
  <c r="L91" i="17"/>
  <c r="L92" i="17"/>
  <c r="L93" i="17"/>
  <c r="L94" i="17"/>
  <c r="L95" i="17"/>
  <c r="L96" i="17"/>
  <c r="L97" i="17"/>
  <c r="L98" i="17"/>
  <c r="L99" i="17"/>
  <c r="L100" i="17"/>
  <c r="L101" i="17"/>
  <c r="L102" i="17"/>
  <c r="AE66" i="17"/>
  <c r="AE74" i="17"/>
  <c r="AE91" i="17"/>
  <c r="AE92" i="17"/>
  <c r="AE93" i="17"/>
  <c r="AE94" i="17"/>
  <c r="AE95" i="17"/>
  <c r="AE96" i="17"/>
  <c r="AE97" i="17"/>
  <c r="AE98" i="17"/>
  <c r="AE99" i="17"/>
  <c r="AE100" i="17"/>
  <c r="AE101" i="17"/>
  <c r="AE102" i="17"/>
  <c r="AH77" i="17"/>
  <c r="AH78" i="17"/>
  <c r="AH79" i="17"/>
  <c r="AH80" i="17"/>
  <c r="AH81" i="17"/>
  <c r="AH82" i="17"/>
  <c r="AH83" i="17"/>
  <c r="AH84" i="17"/>
  <c r="AH85" i="17"/>
  <c r="AH86" i="17"/>
  <c r="AH87" i="17"/>
  <c r="AH88" i="17"/>
  <c r="AH63" i="17"/>
  <c r="AH64" i="17"/>
  <c r="AH65" i="17"/>
  <c r="AH66" i="17"/>
  <c r="AH67" i="17"/>
  <c r="AH68" i="17"/>
  <c r="AH69" i="17"/>
  <c r="AH70" i="17"/>
  <c r="AH71" i="17"/>
  <c r="AH72" i="17"/>
  <c r="AH73" i="17"/>
  <c r="AH74" i="17"/>
  <c r="AH91" i="17"/>
  <c r="AH92" i="17"/>
  <c r="AH93" i="17"/>
  <c r="AH94" i="17"/>
  <c r="AH95" i="17"/>
  <c r="AH96" i="17"/>
  <c r="AH97" i="17"/>
  <c r="AH98" i="17"/>
  <c r="AH99" i="17"/>
  <c r="AH100" i="17"/>
  <c r="AH101" i="17"/>
  <c r="AH102" i="17"/>
  <c r="K89" i="17"/>
  <c r="K75" i="17"/>
  <c r="K103" i="17"/>
  <c r="AD103" i="17"/>
  <c r="AD124" i="17" s="1"/>
  <c r="AG89" i="17"/>
  <c r="AG75" i="17"/>
  <c r="AG103" i="17"/>
  <c r="AG124" i="17" s="1"/>
  <c r="AC103" i="17"/>
  <c r="AC124" i="17" s="1"/>
  <c r="AF124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103" i="17"/>
  <c r="AF129" i="17"/>
  <c r="AB129" i="17"/>
  <c r="S129" i="17"/>
  <c r="M129" i="17"/>
  <c r="AB124" i="17"/>
  <c r="S124" i="17"/>
  <c r="M124" i="17"/>
  <c r="K7" i="17"/>
  <c r="K8" i="17"/>
  <c r="L8" i="17" s="1"/>
  <c r="K9" i="17"/>
  <c r="K10" i="17"/>
  <c r="K11" i="17"/>
  <c r="K12" i="17"/>
  <c r="L12" i="17" s="1"/>
  <c r="K13" i="17"/>
  <c r="K14" i="17"/>
  <c r="K15" i="17"/>
  <c r="K16" i="17"/>
  <c r="L16" i="17" s="1"/>
  <c r="K17" i="17"/>
  <c r="K18" i="17"/>
  <c r="K21" i="17"/>
  <c r="L21" i="17" s="1"/>
  <c r="K22" i="17"/>
  <c r="L22" i="17" s="1"/>
  <c r="K23" i="17"/>
  <c r="K24" i="17"/>
  <c r="K25" i="17"/>
  <c r="K26" i="17"/>
  <c r="L26" i="17" s="1"/>
  <c r="K27" i="17"/>
  <c r="K28" i="17"/>
  <c r="K29" i="17"/>
  <c r="K30" i="17"/>
  <c r="L30" i="17" s="1"/>
  <c r="K31" i="17"/>
  <c r="K32" i="17"/>
  <c r="K35" i="17"/>
  <c r="K36" i="17"/>
  <c r="L36" i="17" s="1"/>
  <c r="K37" i="17"/>
  <c r="K38" i="17"/>
  <c r="K39" i="17"/>
  <c r="K40" i="17"/>
  <c r="L40" i="17" s="1"/>
  <c r="K41" i="17"/>
  <c r="K42" i="17"/>
  <c r="K43" i="17"/>
  <c r="K44" i="17"/>
  <c r="L44" i="17" s="1"/>
  <c r="K45" i="17"/>
  <c r="K46" i="17"/>
  <c r="K61" i="17"/>
  <c r="Q7" i="17"/>
  <c r="R7" i="17" s="1"/>
  <c r="Q8" i="17"/>
  <c r="Q9" i="17"/>
  <c r="Q10" i="17"/>
  <c r="Q11" i="17"/>
  <c r="R11" i="17" s="1"/>
  <c r="Q12" i="17"/>
  <c r="Q13" i="17"/>
  <c r="Q14" i="17"/>
  <c r="Q15" i="17"/>
  <c r="R15" i="17" s="1"/>
  <c r="Q16" i="17"/>
  <c r="Q17" i="17"/>
  <c r="Q18" i="17"/>
  <c r="Q21" i="17"/>
  <c r="R21" i="17" s="1"/>
  <c r="Q22" i="17"/>
  <c r="Q23" i="17"/>
  <c r="Q24" i="17"/>
  <c r="R24" i="17" s="1"/>
  <c r="Q25" i="17"/>
  <c r="R25" i="17" s="1"/>
  <c r="Q26" i="17"/>
  <c r="R26" i="17" s="1"/>
  <c r="Q27" i="17"/>
  <c r="Q28" i="17"/>
  <c r="Q29" i="17"/>
  <c r="R29" i="17" s="1"/>
  <c r="Q30" i="17"/>
  <c r="R30" i="17" s="1"/>
  <c r="Q31" i="17"/>
  <c r="Q32" i="17"/>
  <c r="Q36" i="42"/>
  <c r="Q35" i="17" s="1"/>
  <c r="R35" i="17" s="1"/>
  <c r="Q37" i="42"/>
  <c r="Q36" i="17" s="1"/>
  <c r="Q38" i="42"/>
  <c r="Q37" i="17"/>
  <c r="R37" i="17" s="1"/>
  <c r="Q39" i="42"/>
  <c r="Q38" i="17" s="1"/>
  <c r="R38" i="17" s="1"/>
  <c r="Q40" i="42"/>
  <c r="Q39" i="17" s="1"/>
  <c r="R39" i="17" s="1"/>
  <c r="Q41" i="42"/>
  <c r="Q40" i="17" s="1"/>
  <c r="Q42" i="42"/>
  <c r="Q41" i="17" s="1"/>
  <c r="R41" i="17" s="1"/>
  <c r="Q43" i="42"/>
  <c r="Q42" i="17" s="1"/>
  <c r="Q44" i="42"/>
  <c r="Q43" i="17" s="1"/>
  <c r="R43" i="17" s="1"/>
  <c r="Q45" i="42"/>
  <c r="Q44" i="17" s="1"/>
  <c r="Q46" i="42"/>
  <c r="Q45" i="17" s="1"/>
  <c r="R45" i="17" s="1"/>
  <c r="Q47" i="42"/>
  <c r="Q46" i="17" s="1"/>
  <c r="Q49" i="17"/>
  <c r="Q50" i="17"/>
  <c r="Q51" i="17"/>
  <c r="R51" i="17" s="1"/>
  <c r="Q52" i="17"/>
  <c r="Q53" i="17"/>
  <c r="Q54" i="17"/>
  <c r="Q55" i="17"/>
  <c r="R55" i="17" s="1"/>
  <c r="Q56" i="17"/>
  <c r="Q57" i="17"/>
  <c r="Q58" i="17"/>
  <c r="R58" i="17" s="1"/>
  <c r="Q59" i="17"/>
  <c r="Q60" i="17"/>
  <c r="P36" i="40"/>
  <c r="Q63" i="17" s="1"/>
  <c r="Q64" i="17"/>
  <c r="R64" i="17" s="1"/>
  <c r="Q65" i="17"/>
  <c r="R65" i="17" s="1"/>
  <c r="Q66" i="17"/>
  <c r="R66" i="17" s="1"/>
  <c r="Q67" i="17"/>
  <c r="R67" i="17" s="1"/>
  <c r="Q68" i="17"/>
  <c r="R68" i="17" s="1"/>
  <c r="Q69" i="17"/>
  <c r="R69" i="17" s="1"/>
  <c r="Q70" i="17"/>
  <c r="R70" i="17" s="1"/>
  <c r="Q71" i="17"/>
  <c r="R71" i="17" s="1"/>
  <c r="Q72" i="17"/>
  <c r="R72" i="17" s="1"/>
  <c r="Q73" i="17"/>
  <c r="R73" i="17" s="1"/>
  <c r="Q74" i="17"/>
  <c r="R74" i="17" s="1"/>
  <c r="P36" i="41"/>
  <c r="Q77" i="17" s="1"/>
  <c r="Q78" i="17"/>
  <c r="R78" i="17" s="1"/>
  <c r="Q79" i="17"/>
  <c r="R79" i="17" s="1"/>
  <c r="Q80" i="17"/>
  <c r="R80" i="17" s="1"/>
  <c r="Q81" i="17"/>
  <c r="R81" i="17" s="1"/>
  <c r="Q82" i="17"/>
  <c r="R82" i="17" s="1"/>
  <c r="Q83" i="17"/>
  <c r="R83" i="17" s="1"/>
  <c r="Q84" i="17"/>
  <c r="R84" i="17" s="1"/>
  <c r="Q85" i="17"/>
  <c r="R85" i="17" s="1"/>
  <c r="Q86" i="17"/>
  <c r="R86" i="17" s="1"/>
  <c r="Q87" i="17"/>
  <c r="R87" i="17" s="1"/>
  <c r="Q88" i="17"/>
  <c r="R88" i="17" s="1"/>
  <c r="H36" i="46"/>
  <c r="H40" i="46"/>
  <c r="J36" i="46"/>
  <c r="J40" i="46"/>
  <c r="L36" i="46"/>
  <c r="L40" i="46"/>
  <c r="N36" i="46"/>
  <c r="N40" i="46"/>
  <c r="P36" i="46"/>
  <c r="P40" i="46"/>
  <c r="R36" i="46"/>
  <c r="R39" i="46"/>
  <c r="T36" i="46"/>
  <c r="T40" i="46"/>
  <c r="V36" i="46"/>
  <c r="V39" i="46"/>
  <c r="X36" i="46"/>
  <c r="X40" i="46"/>
  <c r="Z36" i="46"/>
  <c r="Z39" i="46"/>
  <c r="AB36" i="46"/>
  <c r="AB39" i="46"/>
  <c r="AD36" i="46"/>
  <c r="AD39" i="46"/>
  <c r="AF36" i="46"/>
  <c r="AF40" i="46"/>
  <c r="AH36" i="46"/>
  <c r="AH40" i="46"/>
  <c r="AJ36" i="46"/>
  <c r="AJ40" i="46"/>
  <c r="AL36" i="46"/>
  <c r="AL40" i="46"/>
  <c r="AN36" i="46"/>
  <c r="AN40" i="46"/>
  <c r="AP36" i="46"/>
  <c r="AP39" i="46"/>
  <c r="AR36" i="46"/>
  <c r="AR39" i="46"/>
  <c r="AT36" i="46"/>
  <c r="AT39" i="46"/>
  <c r="AV36" i="46"/>
  <c r="AV39" i="46"/>
  <c r="AX36" i="46"/>
  <c r="AZ36" i="46"/>
  <c r="Q92" i="17"/>
  <c r="R92" i="17" s="1"/>
  <c r="Q93" i="17"/>
  <c r="R93" i="17" s="1"/>
  <c r="Q94" i="17"/>
  <c r="R94" i="17" s="1"/>
  <c r="Q95" i="17"/>
  <c r="R95" i="17" s="1"/>
  <c r="Q96" i="17"/>
  <c r="R96" i="17" s="1"/>
  <c r="Q97" i="17"/>
  <c r="R97" i="17" s="1"/>
  <c r="Q98" i="17"/>
  <c r="R98" i="17" s="1"/>
  <c r="Q99" i="17"/>
  <c r="R99" i="17" s="1"/>
  <c r="Q100" i="17"/>
  <c r="R100" i="17" s="1"/>
  <c r="Q101" i="17"/>
  <c r="R101" i="17" s="1"/>
  <c r="Q102" i="17"/>
  <c r="R102" i="17" s="1"/>
  <c r="Z7" i="17"/>
  <c r="Z8" i="17"/>
  <c r="Z9" i="17"/>
  <c r="Z10" i="17"/>
  <c r="Z11" i="17"/>
  <c r="Z12" i="17"/>
  <c r="AA12" i="17" s="1"/>
  <c r="Z13" i="17"/>
  <c r="Z14" i="17"/>
  <c r="Z15" i="17"/>
  <c r="Z16" i="17"/>
  <c r="Z17" i="17"/>
  <c r="Z18" i="17"/>
  <c r="Z21" i="17"/>
  <c r="Z22" i="17"/>
  <c r="Z23" i="17"/>
  <c r="Z24" i="17"/>
  <c r="Z25" i="17"/>
  <c r="AA25" i="17" s="1"/>
  <c r="Z26" i="17"/>
  <c r="AA26" i="17" s="1"/>
  <c r="Z27" i="17"/>
  <c r="Z28" i="17"/>
  <c r="Z29" i="17"/>
  <c r="AA29" i="17" s="1"/>
  <c r="Z30" i="17"/>
  <c r="AA30" i="17" s="1"/>
  <c r="Z31" i="17"/>
  <c r="Z32" i="17"/>
  <c r="Z35" i="17"/>
  <c r="AA35" i="17" s="1"/>
  <c r="Z36" i="17"/>
  <c r="Z37" i="17"/>
  <c r="Z38" i="17"/>
  <c r="Z39" i="17"/>
  <c r="Z40" i="17"/>
  <c r="AA40" i="17" s="1"/>
  <c r="Z41" i="17"/>
  <c r="Z42" i="17"/>
  <c r="Z43" i="17"/>
  <c r="AA43" i="17" s="1"/>
  <c r="Z44" i="17"/>
  <c r="AA44" i="17" s="1"/>
  <c r="Z45" i="17"/>
  <c r="Z46" i="17"/>
  <c r="AA36" i="45"/>
  <c r="Z49" i="17" s="1"/>
  <c r="Z50" i="17"/>
  <c r="AA50" i="17" s="1"/>
  <c r="Z51" i="17"/>
  <c r="Z52" i="17"/>
  <c r="AA40" i="45"/>
  <c r="Z53" i="17" s="1"/>
  <c r="Z54" i="17"/>
  <c r="AA54" i="17" s="1"/>
  <c r="Z55" i="17"/>
  <c r="Z56" i="17"/>
  <c r="Z57" i="17"/>
  <c r="Z58" i="17"/>
  <c r="AA58" i="17" s="1"/>
  <c r="Z59" i="17"/>
  <c r="Z60" i="17"/>
  <c r="AD7" i="17"/>
  <c r="AE7" i="17" s="1"/>
  <c r="AD8" i="17"/>
  <c r="AD9" i="17"/>
  <c r="AD10" i="17"/>
  <c r="AD11" i="17"/>
  <c r="AE11" i="17" s="1"/>
  <c r="AD12" i="17"/>
  <c r="AD13" i="17"/>
  <c r="AD14" i="17"/>
  <c r="AD15" i="17"/>
  <c r="AE15" i="17" s="1"/>
  <c r="AD16" i="17"/>
  <c r="AD17" i="17"/>
  <c r="AD18" i="17"/>
  <c r="AD21" i="17"/>
  <c r="AE21" i="17" s="1"/>
  <c r="AD22" i="17"/>
  <c r="AD23" i="17"/>
  <c r="AD24" i="17"/>
  <c r="AD25" i="17"/>
  <c r="AD26" i="17"/>
  <c r="AE26" i="17" s="1"/>
  <c r="AD27" i="17"/>
  <c r="AD28" i="17"/>
  <c r="AD29" i="17"/>
  <c r="AE29" i="17" s="1"/>
  <c r="AD30" i="17"/>
  <c r="AE30" i="17" s="1"/>
  <c r="AD31" i="17"/>
  <c r="AD32" i="17"/>
  <c r="AE32" i="17" s="1"/>
  <c r="AD35" i="17"/>
  <c r="AD36" i="17"/>
  <c r="AE36" i="17" s="1"/>
  <c r="AD37" i="17"/>
  <c r="AD38" i="17"/>
  <c r="AD39" i="17"/>
  <c r="AE39" i="17" s="1"/>
  <c r="AD40" i="17"/>
  <c r="AE40" i="17" s="1"/>
  <c r="AD41" i="17"/>
  <c r="AD42" i="17"/>
  <c r="AD43" i="17"/>
  <c r="AE43" i="17" s="1"/>
  <c r="AD44" i="17"/>
  <c r="AE44" i="17" s="1"/>
  <c r="AD45" i="17"/>
  <c r="AD46" i="17"/>
  <c r="W36" i="45"/>
  <c r="AD49" i="17" s="1"/>
  <c r="AD50" i="17"/>
  <c r="AD51" i="17"/>
  <c r="AD52" i="17"/>
  <c r="AD53" i="17"/>
  <c r="AD54" i="17"/>
  <c r="AE54" i="17" s="1"/>
  <c r="AD55" i="17"/>
  <c r="AD56" i="17"/>
  <c r="AD57" i="17"/>
  <c r="AD58" i="17"/>
  <c r="AD59" i="17"/>
  <c r="AD60" i="17"/>
  <c r="AD77" i="17"/>
  <c r="AD78" i="17"/>
  <c r="AE78" i="17" s="1"/>
  <c r="AD79" i="17"/>
  <c r="AE79" i="17" s="1"/>
  <c r="AD80" i="17"/>
  <c r="AE80" i="17" s="1"/>
  <c r="AD81" i="17"/>
  <c r="AE81" i="17" s="1"/>
  <c r="AD82" i="17"/>
  <c r="AE82" i="17" s="1"/>
  <c r="AD83" i="17"/>
  <c r="AE83" i="17" s="1"/>
  <c r="AD84" i="17"/>
  <c r="AE84" i="17" s="1"/>
  <c r="AD85" i="17"/>
  <c r="AE85" i="17" s="1"/>
  <c r="AD86" i="17"/>
  <c r="AE86" i="17" s="1"/>
  <c r="AD87" i="17"/>
  <c r="AE87" i="17" s="1"/>
  <c r="AD88" i="17"/>
  <c r="AE88" i="17" s="1"/>
  <c r="R36" i="41"/>
  <c r="AC77" i="17" s="1"/>
  <c r="AC78" i="17"/>
  <c r="AC79" i="17"/>
  <c r="AC80" i="17"/>
  <c r="AC81" i="17"/>
  <c r="AC82" i="17"/>
  <c r="AC83" i="17"/>
  <c r="AC84" i="17"/>
  <c r="AC85" i="17"/>
  <c r="AC86" i="17"/>
  <c r="AC87" i="17"/>
  <c r="AC88" i="17"/>
  <c r="R36" i="40"/>
  <c r="AC63" i="17" s="1"/>
  <c r="AC64" i="17"/>
  <c r="AC65" i="17"/>
  <c r="AC66" i="17"/>
  <c r="AC67" i="17"/>
  <c r="AC68" i="17"/>
  <c r="AC69" i="17"/>
  <c r="AC70" i="17"/>
  <c r="AC71" i="17"/>
  <c r="AC72" i="17"/>
  <c r="AC73" i="17"/>
  <c r="AC74" i="17"/>
  <c r="R36" i="45"/>
  <c r="AC49" i="17" s="1"/>
  <c r="AC50" i="17"/>
  <c r="AC51" i="17"/>
  <c r="AC52" i="17"/>
  <c r="AC53" i="17"/>
  <c r="AC54" i="17"/>
  <c r="AC55" i="17"/>
  <c r="AC56" i="17"/>
  <c r="AC57" i="17"/>
  <c r="AC58" i="17"/>
  <c r="AC59" i="17"/>
  <c r="AC60" i="17"/>
  <c r="S36" i="42"/>
  <c r="AC35" i="17" s="1"/>
  <c r="AC36" i="17"/>
  <c r="AC37" i="17"/>
  <c r="AC38" i="17"/>
  <c r="AC39" i="17"/>
  <c r="AC40" i="17"/>
  <c r="AC41" i="17"/>
  <c r="AC42" i="17"/>
  <c r="AC43" i="17"/>
  <c r="AC44" i="17"/>
  <c r="AC45" i="17"/>
  <c r="AC46" i="17"/>
  <c r="R36" i="43"/>
  <c r="AC7" i="17" s="1"/>
  <c r="AC8" i="17"/>
  <c r="AC9" i="17"/>
  <c r="AC10" i="17"/>
  <c r="AC11" i="17"/>
  <c r="AC12" i="17"/>
  <c r="AC13" i="17"/>
  <c r="AC14" i="17"/>
  <c r="AC15" i="17"/>
  <c r="AC16" i="17"/>
  <c r="AC17" i="17"/>
  <c r="AC18" i="17"/>
  <c r="I35" i="17"/>
  <c r="H35" i="17" s="1"/>
  <c r="I36" i="17"/>
  <c r="H36" i="17" s="1"/>
  <c r="I37" i="17"/>
  <c r="H37" i="17"/>
  <c r="I38" i="17"/>
  <c r="H38" i="17" s="1"/>
  <c r="I39" i="17"/>
  <c r="H39" i="17" s="1"/>
  <c r="I40" i="17"/>
  <c r="H40" i="17" s="1"/>
  <c r="I41" i="17"/>
  <c r="H41" i="17" s="1"/>
  <c r="I42" i="17"/>
  <c r="H42" i="17" s="1"/>
  <c r="I43" i="17"/>
  <c r="H43" i="17" s="1"/>
  <c r="I44" i="17"/>
  <c r="H44" i="17" s="1"/>
  <c r="I45" i="17"/>
  <c r="H45" i="17" s="1"/>
  <c r="I46" i="17"/>
  <c r="H46" i="17" s="1"/>
  <c r="I21" i="17"/>
  <c r="H21" i="17" s="1"/>
  <c r="I22" i="17"/>
  <c r="H22" i="17" s="1"/>
  <c r="I23" i="17"/>
  <c r="H23" i="17" s="1"/>
  <c r="I24" i="17"/>
  <c r="H24" i="17" s="1"/>
  <c r="I25" i="17"/>
  <c r="H25" i="17" s="1"/>
  <c r="I26" i="17"/>
  <c r="H26" i="17" s="1"/>
  <c r="I27" i="17"/>
  <c r="H27" i="17" s="1"/>
  <c r="I28" i="17"/>
  <c r="H28" i="17" s="1"/>
  <c r="I29" i="17"/>
  <c r="H29" i="17" s="1"/>
  <c r="I30" i="17"/>
  <c r="H30" i="17" s="1"/>
  <c r="I31" i="17"/>
  <c r="H31" i="17" s="1"/>
  <c r="I32" i="17"/>
  <c r="H32" i="17" s="1"/>
  <c r="I7" i="17"/>
  <c r="H7" i="17" s="1"/>
  <c r="I8" i="17"/>
  <c r="H8" i="17" s="1"/>
  <c r="I9" i="17"/>
  <c r="H9" i="17" s="1"/>
  <c r="I10" i="17"/>
  <c r="H10" i="17" s="1"/>
  <c r="I11" i="17"/>
  <c r="H11" i="17" s="1"/>
  <c r="I12" i="17"/>
  <c r="H12" i="17" s="1"/>
  <c r="I13" i="17"/>
  <c r="H13" i="17" s="1"/>
  <c r="I14" i="17"/>
  <c r="H14" i="17" s="1"/>
  <c r="I15" i="17"/>
  <c r="H15" i="17" s="1"/>
  <c r="I16" i="17"/>
  <c r="H16" i="17" s="1"/>
  <c r="I17" i="17"/>
  <c r="H17" i="17" s="1"/>
  <c r="I18" i="17"/>
  <c r="H18" i="17" s="1"/>
  <c r="Q17" i="42"/>
  <c r="Q16" i="42"/>
  <c r="Q15" i="42"/>
  <c r="Q14" i="42"/>
  <c r="Q13" i="42"/>
  <c r="Q12" i="42"/>
  <c r="Q11" i="42"/>
  <c r="Q10" i="42"/>
  <c r="Q9" i="42"/>
  <c r="Q8" i="42"/>
  <c r="Q7" i="42"/>
  <c r="Q6" i="42"/>
  <c r="Q32" i="42"/>
  <c r="Q31" i="42"/>
  <c r="Q30" i="42"/>
  <c r="Q29" i="42"/>
  <c r="Q28" i="42"/>
  <c r="Q27" i="42"/>
  <c r="Q26" i="42"/>
  <c r="Q25" i="42"/>
  <c r="Q24" i="42"/>
  <c r="Q23" i="42"/>
  <c r="Q22" i="42"/>
  <c r="Q21" i="42"/>
  <c r="P78" i="17"/>
  <c r="N78" i="17" s="1"/>
  <c r="P79" i="17"/>
  <c r="N79" i="17" s="1"/>
  <c r="P80" i="17"/>
  <c r="N80" i="17" s="1"/>
  <c r="O40" i="41"/>
  <c r="N40" i="41"/>
  <c r="P81" i="17" s="1"/>
  <c r="N81" i="17" s="1"/>
  <c r="P82" i="17"/>
  <c r="N82" i="17" s="1"/>
  <c r="P83" i="17"/>
  <c r="N83" i="17" s="1"/>
  <c r="P84" i="17"/>
  <c r="N84" i="17" s="1"/>
  <c r="P85" i="17"/>
  <c r="N85" i="17" s="1"/>
  <c r="P86" i="17"/>
  <c r="N86" i="17" s="1"/>
  <c r="P87" i="17"/>
  <c r="N87" i="17" s="1"/>
  <c r="P88" i="17"/>
  <c r="N88" i="17" s="1"/>
  <c r="O36" i="41"/>
  <c r="N36" i="41" s="1"/>
  <c r="P77" i="17" s="1"/>
  <c r="N77" i="17" s="1"/>
  <c r="N89" i="17" s="1"/>
  <c r="P64" i="17"/>
  <c r="N64" i="17" s="1"/>
  <c r="P65" i="17"/>
  <c r="N65" i="17" s="1"/>
  <c r="P66" i="17"/>
  <c r="N66" i="17" s="1"/>
  <c r="O40" i="40"/>
  <c r="N40" i="40" s="1"/>
  <c r="P67" i="17" s="1"/>
  <c r="N67" i="17" s="1"/>
  <c r="P68" i="17"/>
  <c r="N68" i="17" s="1"/>
  <c r="P69" i="17"/>
  <c r="N69" i="17" s="1"/>
  <c r="P70" i="17"/>
  <c r="N70" i="17" s="1"/>
  <c r="P71" i="17"/>
  <c r="N71" i="17" s="1"/>
  <c r="P72" i="17"/>
  <c r="N72" i="17" s="1"/>
  <c r="P73" i="17"/>
  <c r="N73" i="17" s="1"/>
  <c r="P74" i="17"/>
  <c r="N74" i="17" s="1"/>
  <c r="O36" i="40"/>
  <c r="N36" i="40" s="1"/>
  <c r="V50" i="17"/>
  <c r="T50" i="17" s="1"/>
  <c r="W50" i="17"/>
  <c r="U50" i="17" s="1"/>
  <c r="V51" i="17"/>
  <c r="W51" i="17"/>
  <c r="V52" i="17"/>
  <c r="W52" i="17"/>
  <c r="U52" i="17" s="1"/>
  <c r="V53" i="17"/>
  <c r="T53" i="17" s="1"/>
  <c r="Z40" i="45"/>
  <c r="W53" i="17" s="1"/>
  <c r="V54" i="17"/>
  <c r="T54" i="17" s="1"/>
  <c r="W54" i="17"/>
  <c r="U54" i="17" s="1"/>
  <c r="V55" i="17"/>
  <c r="Z42" i="45"/>
  <c r="W55" i="17" s="1"/>
  <c r="V56" i="17"/>
  <c r="W56" i="17"/>
  <c r="U56" i="17" s="1"/>
  <c r="V57" i="17"/>
  <c r="T57" i="17" s="1"/>
  <c r="W57" i="17"/>
  <c r="V58" i="17"/>
  <c r="T58" i="17" s="1"/>
  <c r="W58" i="17"/>
  <c r="U58" i="17" s="1"/>
  <c r="V59" i="17"/>
  <c r="W59" i="17"/>
  <c r="V60" i="17"/>
  <c r="W60" i="17"/>
  <c r="U60" i="17" s="1"/>
  <c r="Z36" i="45"/>
  <c r="W49" i="17" s="1"/>
  <c r="V49" i="17"/>
  <c r="P50" i="17"/>
  <c r="N50" i="17" s="1"/>
  <c r="P51" i="17"/>
  <c r="N51" i="17" s="1"/>
  <c r="O39" i="45"/>
  <c r="N39" i="45" s="1"/>
  <c r="P52" i="17" s="1"/>
  <c r="N52" i="17" s="1"/>
  <c r="P53" i="17"/>
  <c r="P54" i="17"/>
  <c r="N54" i="17" s="1"/>
  <c r="P55" i="17"/>
  <c r="P56" i="17"/>
  <c r="P57" i="17"/>
  <c r="N57" i="17" s="1"/>
  <c r="P58" i="17"/>
  <c r="P59" i="17"/>
  <c r="P60" i="17"/>
  <c r="N36" i="45"/>
  <c r="P49" i="17" s="1"/>
  <c r="N49" i="17" s="1"/>
  <c r="X36" i="17"/>
  <c r="Y36" i="17"/>
  <c r="X37" i="17"/>
  <c r="T37" i="17" s="1"/>
  <c r="Y37" i="17"/>
  <c r="U37" i="17" s="1"/>
  <c r="X38" i="17"/>
  <c r="Y38" i="17"/>
  <c r="X39" i="17"/>
  <c r="Y39" i="17"/>
  <c r="U39" i="17" s="1"/>
  <c r="X40" i="17"/>
  <c r="T40" i="17" s="1"/>
  <c r="Y40" i="17"/>
  <c r="X41" i="17"/>
  <c r="T41" i="17" s="1"/>
  <c r="Y41" i="17"/>
  <c r="U41" i="17" s="1"/>
  <c r="X42" i="17"/>
  <c r="T42" i="17" s="1"/>
  <c r="Y42" i="17"/>
  <c r="X43" i="17"/>
  <c r="T43" i="17" s="1"/>
  <c r="Y43" i="17"/>
  <c r="U43" i="17" s="1"/>
  <c r="X44" i="17"/>
  <c r="T44" i="17" s="1"/>
  <c r="Y44" i="17"/>
  <c r="X45" i="17"/>
  <c r="T45" i="17" s="1"/>
  <c r="Y45" i="17"/>
  <c r="U45" i="17" s="1"/>
  <c r="X46" i="17"/>
  <c r="T46" i="17" s="1"/>
  <c r="Y46" i="17"/>
  <c r="Y35" i="17"/>
  <c r="U35" i="17" s="1"/>
  <c r="X35" i="17"/>
  <c r="AC22" i="17"/>
  <c r="AC23" i="17"/>
  <c r="AC24" i="17"/>
  <c r="AC25" i="17"/>
  <c r="AC26" i="17"/>
  <c r="AC27" i="17"/>
  <c r="AC28" i="17"/>
  <c r="AC29" i="17"/>
  <c r="AC30" i="17"/>
  <c r="AC31" i="17"/>
  <c r="AC32" i="17"/>
  <c r="AC21" i="17"/>
  <c r="X22" i="17"/>
  <c r="T22" i="17" s="1"/>
  <c r="Y22" i="17"/>
  <c r="U22" i="17" s="1"/>
  <c r="X23" i="17"/>
  <c r="T23" i="17" s="1"/>
  <c r="Y23" i="17"/>
  <c r="U23" i="17" s="1"/>
  <c r="X24" i="17"/>
  <c r="Y24" i="17"/>
  <c r="U24" i="17" s="1"/>
  <c r="X25" i="17"/>
  <c r="T25" i="17" s="1"/>
  <c r="Y25" i="17"/>
  <c r="U25" i="17" s="1"/>
  <c r="X26" i="17"/>
  <c r="T26" i="17" s="1"/>
  <c r="Y26" i="17"/>
  <c r="U26" i="17" s="1"/>
  <c r="X27" i="17"/>
  <c r="T27" i="17" s="1"/>
  <c r="Y27" i="17"/>
  <c r="U27" i="17" s="1"/>
  <c r="X28" i="17"/>
  <c r="Y28" i="17"/>
  <c r="U28" i="17" s="1"/>
  <c r="X29" i="17"/>
  <c r="T29" i="17" s="1"/>
  <c r="Y29" i="17"/>
  <c r="X30" i="17"/>
  <c r="T30" i="17" s="1"/>
  <c r="Y30" i="17"/>
  <c r="X31" i="17"/>
  <c r="T31" i="17" s="1"/>
  <c r="Y31" i="17"/>
  <c r="U31" i="17" s="1"/>
  <c r="X32" i="17"/>
  <c r="Y32" i="17"/>
  <c r="U32" i="17" s="1"/>
  <c r="Y21" i="17"/>
  <c r="U21" i="17" s="1"/>
  <c r="X21" i="17"/>
  <c r="P22" i="17"/>
  <c r="N22" i="17" s="1"/>
  <c r="P23" i="17"/>
  <c r="O39" i="44"/>
  <c r="N39" i="44" s="1"/>
  <c r="P24" i="17" s="1"/>
  <c r="N24" i="17" s="1"/>
  <c r="P25" i="17"/>
  <c r="N25" i="17" s="1"/>
  <c r="P26" i="17"/>
  <c r="N26" i="17" s="1"/>
  <c r="P27" i="17"/>
  <c r="P28" i="17"/>
  <c r="N28" i="17" s="1"/>
  <c r="P29" i="17"/>
  <c r="N29" i="17" s="1"/>
  <c r="P30" i="17"/>
  <c r="N30" i="17" s="1"/>
  <c r="P31" i="17"/>
  <c r="N31" i="17" s="1"/>
  <c r="P32" i="17"/>
  <c r="N32" i="17" s="1"/>
  <c r="N36" i="44"/>
  <c r="P21" i="17" s="1"/>
  <c r="N21" i="17" s="1"/>
  <c r="X8" i="17"/>
  <c r="Y8" i="17"/>
  <c r="U8" i="17" s="1"/>
  <c r="X9" i="17"/>
  <c r="Y9" i="17"/>
  <c r="X10" i="17"/>
  <c r="Y10" i="17"/>
  <c r="U10" i="17" s="1"/>
  <c r="X11" i="17"/>
  <c r="Y11" i="17"/>
  <c r="X12" i="17"/>
  <c r="Y12" i="17"/>
  <c r="U12" i="17" s="1"/>
  <c r="X13" i="17"/>
  <c r="Y13" i="17"/>
  <c r="X14" i="17"/>
  <c r="Y14" i="17"/>
  <c r="U14" i="17" s="1"/>
  <c r="X15" i="17"/>
  <c r="Y15" i="17"/>
  <c r="X16" i="17"/>
  <c r="Y16" i="17"/>
  <c r="X17" i="17"/>
  <c r="Y17" i="17"/>
  <c r="X18" i="17"/>
  <c r="Y18" i="17"/>
  <c r="U18" i="17" s="1"/>
  <c r="Y7" i="17"/>
  <c r="X7" i="17"/>
  <c r="P8" i="17"/>
  <c r="P9" i="17"/>
  <c r="N9" i="17" s="1"/>
  <c r="O39" i="43"/>
  <c r="N39" i="43" s="1"/>
  <c r="P10" i="17" s="1"/>
  <c r="N10" i="17" s="1"/>
  <c r="P11" i="17"/>
  <c r="P12" i="17"/>
  <c r="N12" i="17" s="1"/>
  <c r="P13" i="17"/>
  <c r="N13" i="17" s="1"/>
  <c r="P14" i="17"/>
  <c r="P15" i="17"/>
  <c r="P16" i="17"/>
  <c r="P17" i="17"/>
  <c r="N17" i="17" s="1"/>
  <c r="P18" i="17"/>
  <c r="N18" i="17" s="1"/>
  <c r="N36" i="43"/>
  <c r="P7" i="17" s="1"/>
  <c r="N7" i="17" s="1"/>
  <c r="P92" i="17"/>
  <c r="N92" i="17" s="1"/>
  <c r="P93" i="17"/>
  <c r="N93" i="17" s="1"/>
  <c r="P94" i="17"/>
  <c r="N94" i="17" s="1"/>
  <c r="P95" i="17"/>
  <c r="N95" i="17" s="1"/>
  <c r="P96" i="17"/>
  <c r="N96" i="17" s="1"/>
  <c r="P97" i="17"/>
  <c r="N97" i="17" s="1"/>
  <c r="P98" i="17"/>
  <c r="N98" i="17" s="1"/>
  <c r="P99" i="17"/>
  <c r="N99" i="17" s="1"/>
  <c r="P100" i="17"/>
  <c r="N100" i="17" s="1"/>
  <c r="P101" i="17"/>
  <c r="N101" i="17" s="1"/>
  <c r="P102" i="17"/>
  <c r="N102" i="17" s="1"/>
  <c r="I40" i="46"/>
  <c r="AA39" i="46"/>
  <c r="AA48" i="46" s="1"/>
  <c r="AC39" i="46"/>
  <c r="AK40" i="46"/>
  <c r="AK48" i="46" s="1"/>
  <c r="AM40" i="46"/>
  <c r="AY48" i="46"/>
  <c r="AW48" i="46"/>
  <c r="AU48" i="46"/>
  <c r="AS48" i="46"/>
  <c r="AQ48" i="46"/>
  <c r="AO48" i="46"/>
  <c r="AI48" i="46"/>
  <c r="AG48" i="46"/>
  <c r="AE48" i="46"/>
  <c r="Y48" i="46"/>
  <c r="W48" i="46"/>
  <c r="U48" i="46"/>
  <c r="S48" i="46"/>
  <c r="Q48" i="46"/>
  <c r="O48" i="46"/>
  <c r="M48" i="46"/>
  <c r="K48" i="46"/>
  <c r="G48" i="46"/>
  <c r="AY33" i="46"/>
  <c r="AW33" i="46"/>
  <c r="AU33" i="46"/>
  <c r="AS33" i="46"/>
  <c r="AQ33" i="46"/>
  <c r="AO33" i="46"/>
  <c r="AM33" i="46"/>
  <c r="AK33" i="46"/>
  <c r="AI33" i="46"/>
  <c r="AG33" i="46"/>
  <c r="AE33" i="46"/>
  <c r="AC33" i="46"/>
  <c r="AA33" i="46"/>
  <c r="Y33" i="46"/>
  <c r="W33" i="46"/>
  <c r="U33" i="46"/>
  <c r="S33" i="46"/>
  <c r="Q33" i="46"/>
  <c r="O33" i="46"/>
  <c r="M33" i="46"/>
  <c r="K33" i="46"/>
  <c r="I33" i="46"/>
  <c r="G33" i="46"/>
  <c r="AY18" i="46"/>
  <c r="AW18" i="46"/>
  <c r="AU18" i="46"/>
  <c r="AS18" i="46"/>
  <c r="AM18" i="46"/>
  <c r="AK18" i="46"/>
  <c r="AG18" i="46"/>
  <c r="AE18" i="46"/>
  <c r="AC18" i="46"/>
  <c r="Y18" i="46"/>
  <c r="W18" i="46"/>
  <c r="S18" i="46"/>
  <c r="O18" i="46"/>
  <c r="M18" i="46"/>
  <c r="I18" i="46"/>
  <c r="G18" i="46"/>
  <c r="F21" i="46"/>
  <c r="AQ9" i="46"/>
  <c r="AO9" i="46"/>
  <c r="AO18" i="46"/>
  <c r="Q9" i="46"/>
  <c r="Q18" i="46"/>
  <c r="U9" i="46"/>
  <c r="U18" i="46"/>
  <c r="AI10" i="46"/>
  <c r="AI18" i="46"/>
  <c r="K10" i="46"/>
  <c r="K18" i="46"/>
  <c r="AA6" i="46"/>
  <c r="AA18" i="46"/>
  <c r="AZ30" i="46"/>
  <c r="AX26" i="46"/>
  <c r="AT24" i="46"/>
  <c r="AL25" i="46"/>
  <c r="AD24" i="46"/>
  <c r="AP24" i="46"/>
  <c r="AR24" i="46"/>
  <c r="V24" i="46"/>
  <c r="AV24" i="46"/>
  <c r="R24" i="46"/>
  <c r="AB24" i="46"/>
  <c r="Z24" i="46"/>
  <c r="T25" i="46"/>
  <c r="AH25" i="46"/>
  <c r="AF25" i="46"/>
  <c r="X25" i="46"/>
  <c r="AJ25" i="46"/>
  <c r="AN25" i="46"/>
  <c r="AM48" i="46"/>
  <c r="AC48" i="46"/>
  <c r="I48" i="46"/>
  <c r="P25" i="46"/>
  <c r="N25" i="46"/>
  <c r="L25" i="46"/>
  <c r="J25" i="46"/>
  <c r="H25" i="46"/>
  <c r="BF48" i="46"/>
  <c r="BF49" i="46"/>
  <c r="B34" i="46"/>
  <c r="B49" i="46"/>
  <c r="BF33" i="46"/>
  <c r="BF34" i="46" s="1"/>
  <c r="BA33" i="46"/>
  <c r="BA34" i="46" s="1"/>
  <c r="F33" i="46"/>
  <c r="BF18" i="46"/>
  <c r="BF19" i="46" s="1"/>
  <c r="BA18" i="46"/>
  <c r="BA19" i="46" s="1"/>
  <c r="B3" i="46"/>
  <c r="V12" i="41"/>
  <c r="V18" i="41" s="1"/>
  <c r="Z6" i="45"/>
  <c r="Z18" i="45" s="1"/>
  <c r="Z21" i="45"/>
  <c r="Z12" i="45"/>
  <c r="AA27" i="45"/>
  <c r="Z27" i="45"/>
  <c r="R21" i="43"/>
  <c r="R6" i="43"/>
  <c r="R18" i="43" s="1"/>
  <c r="O21" i="45"/>
  <c r="O9" i="45"/>
  <c r="N9" i="45" s="1"/>
  <c r="R21" i="45"/>
  <c r="R6" i="45"/>
  <c r="R18" i="45" s="1"/>
  <c r="L48" i="45"/>
  <c r="L49" i="45"/>
  <c r="AA48" i="45"/>
  <c r="AA49" i="45" s="1"/>
  <c r="Z48" i="45"/>
  <c r="Y48" i="45"/>
  <c r="W48" i="45"/>
  <c r="W49" i="45" s="1"/>
  <c r="R48" i="45"/>
  <c r="P48" i="45"/>
  <c r="P49" i="45" s="1"/>
  <c r="K48" i="45"/>
  <c r="J48" i="45"/>
  <c r="I48" i="45"/>
  <c r="I49" i="45"/>
  <c r="H48" i="45"/>
  <c r="G48" i="45"/>
  <c r="G49" i="45" s="1"/>
  <c r="F48" i="45"/>
  <c r="I33" i="45"/>
  <c r="I34" i="45" s="1"/>
  <c r="B34" i="45"/>
  <c r="B49" i="45" s="1"/>
  <c r="AA33" i="45"/>
  <c r="AA34" i="45"/>
  <c r="Y33" i="45"/>
  <c r="W33" i="45"/>
  <c r="W34" i="45" s="1"/>
  <c r="R33" i="45"/>
  <c r="P33" i="45"/>
  <c r="P34" i="45" s="1"/>
  <c r="L33" i="45"/>
  <c r="L34" i="45" s="1"/>
  <c r="K33" i="45"/>
  <c r="J33" i="45"/>
  <c r="H33" i="45"/>
  <c r="G33" i="45"/>
  <c r="G34" i="45" s="1"/>
  <c r="F33" i="45"/>
  <c r="N24" i="45"/>
  <c r="N21" i="45"/>
  <c r="AA18" i="45"/>
  <c r="AA19" i="45" s="1"/>
  <c r="Y18" i="45"/>
  <c r="W18" i="45"/>
  <c r="W19" i="45" s="1"/>
  <c r="P18" i="45"/>
  <c r="P19" i="45" s="1"/>
  <c r="L18" i="45"/>
  <c r="L19" i="45" s="1"/>
  <c r="K18" i="45"/>
  <c r="J18" i="45"/>
  <c r="I18" i="45"/>
  <c r="I19" i="45" s="1"/>
  <c r="H18" i="45"/>
  <c r="G18" i="45"/>
  <c r="G19" i="45" s="1"/>
  <c r="F18" i="45"/>
  <c r="N6" i="45"/>
  <c r="N18" i="45" s="1"/>
  <c r="B3" i="45"/>
  <c r="O21" i="44"/>
  <c r="N21" i="44" s="1"/>
  <c r="O9" i="44"/>
  <c r="N9" i="44" s="1"/>
  <c r="N24" i="44"/>
  <c r="N6" i="44"/>
  <c r="W48" i="44"/>
  <c r="W49" i="44" s="1"/>
  <c r="V48" i="44"/>
  <c r="U48" i="44"/>
  <c r="S48" i="44"/>
  <c r="S49" i="44" s="1"/>
  <c r="R48" i="44"/>
  <c r="P48" i="44"/>
  <c r="P49" i="44" s="1"/>
  <c r="L48" i="44"/>
  <c r="L49" i="44" s="1"/>
  <c r="K48" i="44"/>
  <c r="J48" i="44"/>
  <c r="I48" i="44"/>
  <c r="I49" i="44" s="1"/>
  <c r="H48" i="44"/>
  <c r="G48" i="44"/>
  <c r="G49" i="44" s="1"/>
  <c r="F48" i="44"/>
  <c r="W33" i="44"/>
  <c r="W34" i="44" s="1"/>
  <c r="B34" i="44"/>
  <c r="B49" i="44" s="1"/>
  <c r="V33" i="44"/>
  <c r="U33" i="44"/>
  <c r="S33" i="44"/>
  <c r="S34" i="44" s="1"/>
  <c r="R33" i="44"/>
  <c r="P33" i="44"/>
  <c r="P34" i="44" s="1"/>
  <c r="L33" i="44"/>
  <c r="L34" i="44" s="1"/>
  <c r="K33" i="44"/>
  <c r="J33" i="44"/>
  <c r="I33" i="44"/>
  <c r="I34" i="44" s="1"/>
  <c r="H33" i="44"/>
  <c r="G33" i="44"/>
  <c r="G34" i="44"/>
  <c r="F33" i="44"/>
  <c r="G18" i="44"/>
  <c r="G19" i="44" s="1"/>
  <c r="W18" i="44"/>
  <c r="W19" i="44"/>
  <c r="V18" i="44"/>
  <c r="U18" i="44"/>
  <c r="S18" i="44"/>
  <c r="S19" i="44" s="1"/>
  <c r="R18" i="44"/>
  <c r="P18" i="44"/>
  <c r="P19" i="44" s="1"/>
  <c r="L18" i="44"/>
  <c r="L19" i="44" s="1"/>
  <c r="K18" i="44"/>
  <c r="J18" i="44"/>
  <c r="I18" i="44"/>
  <c r="I19" i="44" s="1"/>
  <c r="H18" i="44"/>
  <c r="F18" i="44"/>
  <c r="B3" i="44"/>
  <c r="N24" i="43"/>
  <c r="N21" i="43"/>
  <c r="L48" i="43"/>
  <c r="L49" i="43" s="1"/>
  <c r="X48" i="43"/>
  <c r="X49" i="43" s="1"/>
  <c r="W48" i="43"/>
  <c r="V48" i="43"/>
  <c r="T48" i="43"/>
  <c r="T49" i="43" s="1"/>
  <c r="K48" i="43"/>
  <c r="J48" i="43"/>
  <c r="I48" i="43"/>
  <c r="I49" i="43" s="1"/>
  <c r="H48" i="43"/>
  <c r="G48" i="43"/>
  <c r="G49" i="43" s="1"/>
  <c r="F48" i="43"/>
  <c r="P48" i="43"/>
  <c r="P49" i="43" s="1"/>
  <c r="R48" i="43"/>
  <c r="B34" i="43"/>
  <c r="B49" i="43" s="1"/>
  <c r="X33" i="43"/>
  <c r="X34" i="43" s="1"/>
  <c r="W33" i="43"/>
  <c r="V33" i="43"/>
  <c r="T33" i="43"/>
  <c r="T34" i="43" s="1"/>
  <c r="R33" i="43"/>
  <c r="P33" i="43"/>
  <c r="P34" i="43" s="1"/>
  <c r="L33" i="43"/>
  <c r="L34" i="43" s="1"/>
  <c r="K33" i="43"/>
  <c r="J33" i="43"/>
  <c r="I33" i="43"/>
  <c r="I34" i="43" s="1"/>
  <c r="H33" i="43"/>
  <c r="G33" i="43"/>
  <c r="G34" i="43" s="1"/>
  <c r="F33" i="43"/>
  <c r="X18" i="43"/>
  <c r="X19" i="43" s="1"/>
  <c r="W18" i="43"/>
  <c r="V18" i="43"/>
  <c r="T18" i="43"/>
  <c r="T19" i="43" s="1"/>
  <c r="P18" i="43"/>
  <c r="P19" i="43" s="1"/>
  <c r="L18" i="43"/>
  <c r="L19" i="43" s="1"/>
  <c r="K18" i="43"/>
  <c r="J18" i="43"/>
  <c r="I18" i="43"/>
  <c r="I19" i="43" s="1"/>
  <c r="H18" i="43"/>
  <c r="G18" i="43"/>
  <c r="G19" i="43" s="1"/>
  <c r="F18" i="43"/>
  <c r="N9" i="43"/>
  <c r="N18" i="43" s="1"/>
  <c r="N6" i="43"/>
  <c r="B3" i="43"/>
  <c r="N6" i="42"/>
  <c r="N7" i="42"/>
  <c r="N8" i="42"/>
  <c r="N9" i="42"/>
  <c r="N10" i="42"/>
  <c r="N11" i="42"/>
  <c r="N12" i="42"/>
  <c r="N13" i="42"/>
  <c r="N14" i="42"/>
  <c r="N15" i="42"/>
  <c r="N16" i="42"/>
  <c r="N17" i="42"/>
  <c r="N21" i="42"/>
  <c r="N22" i="42"/>
  <c r="N23" i="42"/>
  <c r="N24" i="42"/>
  <c r="N25" i="42"/>
  <c r="N26" i="42"/>
  <c r="N27" i="42"/>
  <c r="N28" i="42"/>
  <c r="N29" i="42"/>
  <c r="N30" i="42"/>
  <c r="N31" i="42"/>
  <c r="N32" i="42"/>
  <c r="S6" i="42"/>
  <c r="S18" i="42" s="1"/>
  <c r="S21" i="42"/>
  <c r="S33" i="42" s="1"/>
  <c r="O38" i="42"/>
  <c r="N38" i="42" s="1"/>
  <c r="P37" i="17" s="1"/>
  <c r="N37" i="17" s="1"/>
  <c r="O40" i="42"/>
  <c r="N40" i="42" s="1"/>
  <c r="P39" i="17" s="1"/>
  <c r="N39" i="17" s="1"/>
  <c r="O47" i="42"/>
  <c r="N47" i="42" s="1"/>
  <c r="P46" i="17" s="1"/>
  <c r="O46" i="42"/>
  <c r="N46" i="42" s="1"/>
  <c r="P45" i="17" s="1"/>
  <c r="N45" i="17" s="1"/>
  <c r="O45" i="42"/>
  <c r="N45" i="42" s="1"/>
  <c r="P44" i="17" s="1"/>
  <c r="N44" i="17" s="1"/>
  <c r="O44" i="42"/>
  <c r="N44" i="42" s="1"/>
  <c r="P43" i="17" s="1"/>
  <c r="N43" i="17" s="1"/>
  <c r="O43" i="42"/>
  <c r="N43" i="42" s="1"/>
  <c r="P42" i="17" s="1"/>
  <c r="O36" i="42"/>
  <c r="N36" i="42"/>
  <c r="O37" i="42"/>
  <c r="N37" i="42" s="1"/>
  <c r="P36" i="17" s="1"/>
  <c r="N36" i="17" s="1"/>
  <c r="O39" i="42"/>
  <c r="N39" i="42" s="1"/>
  <c r="P38" i="17" s="1"/>
  <c r="N38" i="17" s="1"/>
  <c r="O41" i="42"/>
  <c r="N41" i="42" s="1"/>
  <c r="P40" i="17" s="1"/>
  <c r="N40" i="17" s="1"/>
  <c r="O42" i="42"/>
  <c r="N42" i="42" s="1"/>
  <c r="P41" i="17" s="1"/>
  <c r="N41" i="17" s="1"/>
  <c r="Y48" i="42"/>
  <c r="Y49" i="42" s="1"/>
  <c r="X48" i="42"/>
  <c r="W48" i="42"/>
  <c r="U48" i="42"/>
  <c r="U49" i="42" s="1"/>
  <c r="L48" i="42"/>
  <c r="L49" i="42" s="1"/>
  <c r="K48" i="42"/>
  <c r="J48" i="42"/>
  <c r="I48" i="42"/>
  <c r="I49" i="42" s="1"/>
  <c r="H48" i="42"/>
  <c r="G48" i="42"/>
  <c r="G49" i="42" s="1"/>
  <c r="F48" i="42"/>
  <c r="B34" i="42"/>
  <c r="B49" i="42" s="1"/>
  <c r="Y33" i="42"/>
  <c r="Y34" i="42" s="1"/>
  <c r="X33" i="42"/>
  <c r="W33" i="42"/>
  <c r="U33" i="42"/>
  <c r="U34" i="42" s="1"/>
  <c r="L33" i="42"/>
  <c r="L34" i="42"/>
  <c r="K33" i="42"/>
  <c r="J33" i="42"/>
  <c r="I33" i="42"/>
  <c r="I34" i="42"/>
  <c r="H33" i="42"/>
  <c r="G33" i="42"/>
  <c r="G34" i="42" s="1"/>
  <c r="F33" i="42"/>
  <c r="Y18" i="42"/>
  <c r="Y19" i="42" s="1"/>
  <c r="X18" i="42"/>
  <c r="W18" i="42"/>
  <c r="U18" i="42"/>
  <c r="U19" i="42" s="1"/>
  <c r="L18" i="42"/>
  <c r="L19" i="42" s="1"/>
  <c r="K18" i="42"/>
  <c r="J18" i="42"/>
  <c r="I18" i="42"/>
  <c r="I19" i="42" s="1"/>
  <c r="H18" i="42"/>
  <c r="G18" i="42"/>
  <c r="G19" i="42" s="1"/>
  <c r="F18" i="42"/>
  <c r="B3" i="42"/>
  <c r="N33" i="43"/>
  <c r="W12" i="40"/>
  <c r="V12" i="40"/>
  <c r="Y12" i="40" s="1"/>
  <c r="W27" i="40"/>
  <c r="W69" i="17" s="1"/>
  <c r="U69" i="17" s="1"/>
  <c r="V27" i="40"/>
  <c r="X36" i="41"/>
  <c r="X48" i="41" s="1"/>
  <c r="X49" i="41" s="1"/>
  <c r="X27" i="41"/>
  <c r="W27" i="41"/>
  <c r="W83" i="17" s="1"/>
  <c r="U83" i="17" s="1"/>
  <c r="V27" i="41"/>
  <c r="V33" i="41" s="1"/>
  <c r="X6" i="41"/>
  <c r="W12" i="41"/>
  <c r="W6" i="41"/>
  <c r="W7" i="41"/>
  <c r="W8" i="41"/>
  <c r="W9" i="41"/>
  <c r="W10" i="41"/>
  <c r="W11" i="41"/>
  <c r="W13" i="41"/>
  <c r="W14" i="41"/>
  <c r="W15" i="41"/>
  <c r="W16" i="41"/>
  <c r="W17" i="41"/>
  <c r="W21" i="41"/>
  <c r="W22" i="41"/>
  <c r="W23" i="41"/>
  <c r="W24" i="41"/>
  <c r="W25" i="41"/>
  <c r="W26" i="41"/>
  <c r="T6" i="41"/>
  <c r="T18" i="41" s="1"/>
  <c r="T19" i="41" s="1"/>
  <c r="S6" i="41"/>
  <c r="P25" i="41"/>
  <c r="O25" i="41"/>
  <c r="P21" i="41"/>
  <c r="P10" i="41"/>
  <c r="P18" i="41" s="1"/>
  <c r="P19" i="41" s="1"/>
  <c r="O21" i="41"/>
  <c r="N21" i="41" s="1"/>
  <c r="O10" i="41"/>
  <c r="N10" i="41" s="1"/>
  <c r="O6" i="41"/>
  <c r="N6" i="41" s="1"/>
  <c r="V48" i="41"/>
  <c r="L48" i="41"/>
  <c r="L49" i="41" s="1"/>
  <c r="K48" i="41"/>
  <c r="J48" i="41"/>
  <c r="I48" i="41"/>
  <c r="I49" i="41" s="1"/>
  <c r="H48" i="41"/>
  <c r="G48" i="41"/>
  <c r="G49" i="41" s="1"/>
  <c r="F48" i="41"/>
  <c r="W42" i="41"/>
  <c r="W41" i="41"/>
  <c r="W82" i="17" s="1"/>
  <c r="U82" i="17" s="1"/>
  <c r="W40" i="41"/>
  <c r="W81" i="17" s="1"/>
  <c r="U81" i="17" s="1"/>
  <c r="W39" i="41"/>
  <c r="W80" i="17" s="1"/>
  <c r="U80" i="17" s="1"/>
  <c r="W38" i="41"/>
  <c r="W79" i="17" s="1"/>
  <c r="U79" i="17" s="1"/>
  <c r="W37" i="41"/>
  <c r="W78" i="17" s="1"/>
  <c r="U78" i="17" s="1"/>
  <c r="W36" i="41"/>
  <c r="W77" i="17" s="1"/>
  <c r="U77" i="17" s="1"/>
  <c r="T48" i="41"/>
  <c r="T49" i="41" s="1"/>
  <c r="R48" i="41"/>
  <c r="I33" i="41"/>
  <c r="I34" i="41" s="1"/>
  <c r="B34" i="41"/>
  <c r="B49" i="41" s="1"/>
  <c r="L33" i="41"/>
  <c r="L34" i="41" s="1"/>
  <c r="K33" i="41"/>
  <c r="J33" i="41"/>
  <c r="H33" i="41"/>
  <c r="G33" i="41"/>
  <c r="G34" i="41" s="1"/>
  <c r="F33" i="41"/>
  <c r="W32" i="41"/>
  <c r="W88" i="17" s="1"/>
  <c r="U88" i="17" s="1"/>
  <c r="W31" i="41"/>
  <c r="W87" i="17" s="1"/>
  <c r="U87" i="17" s="1"/>
  <c r="W30" i="41"/>
  <c r="W86" i="17" s="1"/>
  <c r="U86" i="17" s="1"/>
  <c r="W29" i="41"/>
  <c r="W85" i="17" s="1"/>
  <c r="U85" i="17" s="1"/>
  <c r="W28" i="41"/>
  <c r="W84" i="17" s="1"/>
  <c r="U84" i="17" s="1"/>
  <c r="N25" i="41"/>
  <c r="T33" i="41"/>
  <c r="T34" i="41" s="1"/>
  <c r="R21" i="41"/>
  <c r="R33" i="41" s="1"/>
  <c r="X18" i="41"/>
  <c r="X19" i="41" s="1"/>
  <c r="L18" i="41"/>
  <c r="L19" i="41" s="1"/>
  <c r="K18" i="41"/>
  <c r="J18" i="41"/>
  <c r="I18" i="41"/>
  <c r="I19" i="41" s="1"/>
  <c r="H18" i="41"/>
  <c r="G18" i="41"/>
  <c r="G19" i="41" s="1"/>
  <c r="F18" i="41"/>
  <c r="R6" i="41"/>
  <c r="R18" i="41" s="1"/>
  <c r="B3" i="41"/>
  <c r="P10" i="40"/>
  <c r="P25" i="40"/>
  <c r="O25" i="40"/>
  <c r="N25" i="40" s="1"/>
  <c r="O10" i="40"/>
  <c r="N10" i="40" s="1"/>
  <c r="O21" i="40"/>
  <c r="N21" i="40" s="1"/>
  <c r="P21" i="40"/>
  <c r="P33" i="40" s="1"/>
  <c r="P34" i="40" s="1"/>
  <c r="O6" i="40"/>
  <c r="T6" i="40"/>
  <c r="T18" i="40" s="1"/>
  <c r="T19" i="40" s="1"/>
  <c r="X27" i="40"/>
  <c r="X36" i="40"/>
  <c r="X48" i="40" s="1"/>
  <c r="X49" i="40" s="1"/>
  <c r="X12" i="40"/>
  <c r="W6" i="40"/>
  <c r="W7" i="40"/>
  <c r="W8" i="40"/>
  <c r="W9" i="40"/>
  <c r="W10" i="40"/>
  <c r="W11" i="40"/>
  <c r="W13" i="40"/>
  <c r="W14" i="40"/>
  <c r="W15" i="40"/>
  <c r="W16" i="40"/>
  <c r="W17" i="40"/>
  <c r="W21" i="40"/>
  <c r="W22" i="40"/>
  <c r="W23" i="40"/>
  <c r="W24" i="40"/>
  <c r="W25" i="40"/>
  <c r="W26" i="40"/>
  <c r="W42" i="40"/>
  <c r="W41" i="40"/>
  <c r="W68" i="17" s="1"/>
  <c r="U68" i="17" s="1"/>
  <c r="W40" i="40"/>
  <c r="W67" i="17" s="1"/>
  <c r="U67" i="17" s="1"/>
  <c r="W39" i="40"/>
  <c r="W66" i="17" s="1"/>
  <c r="U66" i="17" s="1"/>
  <c r="W38" i="40"/>
  <c r="W65" i="17" s="1"/>
  <c r="U65" i="17" s="1"/>
  <c r="W37" i="40"/>
  <c r="W64" i="17" s="1"/>
  <c r="U64" i="17" s="1"/>
  <c r="W36" i="40"/>
  <c r="W63" i="17" s="1"/>
  <c r="U63" i="17" s="1"/>
  <c r="W28" i="40"/>
  <c r="W70" i="17" s="1"/>
  <c r="U70" i="17" s="1"/>
  <c r="W29" i="40"/>
  <c r="W71" i="17" s="1"/>
  <c r="U71" i="17" s="1"/>
  <c r="W30" i="40"/>
  <c r="W72" i="17" s="1"/>
  <c r="U72" i="17" s="1"/>
  <c r="W31" i="40"/>
  <c r="W73" i="17" s="1"/>
  <c r="U73" i="17" s="1"/>
  <c r="W32" i="40"/>
  <c r="W74" i="17" s="1"/>
  <c r="U74" i="17" s="1"/>
  <c r="R21" i="40"/>
  <c r="R33" i="40" s="1"/>
  <c r="S6" i="40"/>
  <c r="R6" i="40" s="1"/>
  <c r="R18" i="40" s="1"/>
  <c r="N6" i="40"/>
  <c r="V48" i="40"/>
  <c r="T48" i="40"/>
  <c r="T49" i="40" s="1"/>
  <c r="P48" i="40"/>
  <c r="P49" i="40" s="1"/>
  <c r="L48" i="40"/>
  <c r="L49" i="40" s="1"/>
  <c r="K48" i="40"/>
  <c r="J48" i="40"/>
  <c r="I48" i="40"/>
  <c r="I49" i="40" s="1"/>
  <c r="H48" i="40"/>
  <c r="G48" i="40"/>
  <c r="G49" i="40" s="1"/>
  <c r="F48" i="40"/>
  <c r="B34" i="40"/>
  <c r="B49" i="40" s="1"/>
  <c r="T33" i="40"/>
  <c r="T34" i="40" s="1"/>
  <c r="L33" i="40"/>
  <c r="L34" i="40" s="1"/>
  <c r="K33" i="40"/>
  <c r="J33" i="40"/>
  <c r="I33" i="40"/>
  <c r="I34" i="40" s="1"/>
  <c r="H33" i="40"/>
  <c r="G33" i="40"/>
  <c r="G34" i="40" s="1"/>
  <c r="F33" i="40"/>
  <c r="G18" i="40"/>
  <c r="G19" i="40" s="1"/>
  <c r="P18" i="40"/>
  <c r="P19" i="40" s="1"/>
  <c r="L18" i="40"/>
  <c r="L19" i="40" s="1"/>
  <c r="K18" i="40"/>
  <c r="J18" i="40"/>
  <c r="I18" i="40"/>
  <c r="I19" i="40" s="1"/>
  <c r="H18" i="40"/>
  <c r="F18" i="40"/>
  <c r="B3" i="40"/>
  <c r="H31" i="21"/>
  <c r="H25" i="21"/>
  <c r="M39" i="20"/>
  <c r="M42" i="20" s="1"/>
  <c r="N39" i="20"/>
  <c r="N42" i="20" s="1"/>
  <c r="R17" i="20"/>
  <c r="AF119" i="17"/>
  <c r="T120" i="17"/>
  <c r="N120" i="17"/>
  <c r="H120" i="17"/>
  <c r="AB119" i="17"/>
  <c r="S119" i="17"/>
  <c r="M119" i="17"/>
  <c r="P106" i="17"/>
  <c r="Q106" i="17"/>
  <c r="P108" i="17"/>
  <c r="Q108" i="17"/>
  <c r="P109" i="17"/>
  <c r="Q109" i="17"/>
  <c r="P110" i="17"/>
  <c r="Q110" i="17"/>
  <c r="P111" i="17"/>
  <c r="Q111" i="17"/>
  <c r="P112" i="17"/>
  <c r="Q112" i="17"/>
  <c r="P113" i="17"/>
  <c r="Q113" i="17"/>
  <c r="P114" i="17"/>
  <c r="Q114" i="17"/>
  <c r="P115" i="17"/>
  <c r="Q115" i="17"/>
  <c r="P116" i="17"/>
  <c r="Q116" i="17"/>
  <c r="R116" i="17" s="1"/>
  <c r="AC106" i="17"/>
  <c r="AC107" i="17"/>
  <c r="AD107" i="17"/>
  <c r="AC108" i="17"/>
  <c r="AD108" i="17"/>
  <c r="AC109" i="17"/>
  <c r="AC110" i="17"/>
  <c r="AD110" i="17"/>
  <c r="AC111" i="17"/>
  <c r="AD111" i="17"/>
  <c r="AC112" i="17"/>
  <c r="AC113" i="17"/>
  <c r="AD113" i="17"/>
  <c r="AC114" i="17"/>
  <c r="AD114" i="17"/>
  <c r="AC115" i="17"/>
  <c r="AC116" i="17"/>
  <c r="AD116" i="17"/>
  <c r="H50" i="17"/>
  <c r="H51" i="17"/>
  <c r="H52" i="17"/>
  <c r="H53" i="17"/>
  <c r="H54" i="17"/>
  <c r="H55" i="17"/>
  <c r="H56" i="17"/>
  <c r="H57" i="17"/>
  <c r="H58" i="17"/>
  <c r="H59" i="17"/>
  <c r="H60" i="17"/>
  <c r="H49" i="17"/>
  <c r="T7" i="17"/>
  <c r="I106" i="17"/>
  <c r="H106" i="17" s="1"/>
  <c r="I107" i="17"/>
  <c r="H107" i="17"/>
  <c r="I108" i="17"/>
  <c r="H108" i="17"/>
  <c r="I109" i="17"/>
  <c r="H109" i="17"/>
  <c r="I110" i="17"/>
  <c r="H110" i="17"/>
  <c r="I111" i="17"/>
  <c r="H111" i="17"/>
  <c r="I112" i="17"/>
  <c r="H112" i="17"/>
  <c r="I113" i="17"/>
  <c r="H113" i="17"/>
  <c r="I114" i="17"/>
  <c r="H114" i="17"/>
  <c r="I115" i="17"/>
  <c r="H115" i="17"/>
  <c r="I116" i="17"/>
  <c r="H116" i="17"/>
  <c r="I105" i="17"/>
  <c r="H105" i="17"/>
  <c r="K107" i="17"/>
  <c r="K109" i="17"/>
  <c r="K111" i="17"/>
  <c r="K113" i="17"/>
  <c r="K115" i="17"/>
  <c r="P107" i="17"/>
  <c r="AD115" i="17"/>
  <c r="AD112" i="17"/>
  <c r="AD109" i="17"/>
  <c r="AD106" i="17"/>
  <c r="Q107" i="17"/>
  <c r="K114" i="17"/>
  <c r="K110" i="17"/>
  <c r="K106" i="17"/>
  <c r="K116" i="17"/>
  <c r="K112" i="17"/>
  <c r="L112" i="17" s="1"/>
  <c r="K108" i="17"/>
  <c r="K105" i="17"/>
  <c r="Q105" i="17"/>
  <c r="P105" i="17"/>
  <c r="AC105" i="17"/>
  <c r="AD105" i="17"/>
  <c r="U105" i="17"/>
  <c r="G3" i="20"/>
  <c r="H3" i="20" s="1"/>
  <c r="I3" i="20" s="1"/>
  <c r="J3" i="20" s="1"/>
  <c r="K3" i="20" s="1"/>
  <c r="L3" i="20" s="1"/>
  <c r="M3" i="20" s="1"/>
  <c r="N3" i="20" s="1"/>
  <c r="O3" i="20" s="1"/>
  <c r="P3" i="20" s="1"/>
  <c r="Q3" i="20" s="1"/>
  <c r="M60" i="19"/>
  <c r="M56" i="19"/>
  <c r="M57" i="19"/>
  <c r="M58" i="19"/>
  <c r="M59" i="19"/>
  <c r="D56" i="19"/>
  <c r="D57" i="19"/>
  <c r="D58" i="19"/>
  <c r="L58" i="19" s="1"/>
  <c r="D59" i="19"/>
  <c r="D30" i="19"/>
  <c r="D44" i="19" s="1"/>
  <c r="D31" i="19"/>
  <c r="D45" i="19" s="1"/>
  <c r="D32" i="19"/>
  <c r="D46" i="19" s="1"/>
  <c r="C15" i="19"/>
  <c r="C32" i="19" s="1"/>
  <c r="C46" i="19" s="1"/>
  <c r="C59" i="19" s="1"/>
  <c r="C14" i="19"/>
  <c r="C31" i="19" s="1"/>
  <c r="C45" i="19" s="1"/>
  <c r="C58" i="19" s="1"/>
  <c r="C13" i="19"/>
  <c r="C30" i="19" s="1"/>
  <c r="C44" i="19" s="1"/>
  <c r="C57" i="19" s="1"/>
  <c r="C12" i="19"/>
  <c r="C29" i="19" s="1"/>
  <c r="C43" i="19" s="1"/>
  <c r="C56" i="19" s="1"/>
  <c r="C11" i="19"/>
  <c r="C28" i="19" s="1"/>
  <c r="C42" i="19" s="1"/>
  <c r="C55" i="19" s="1"/>
  <c r="C10" i="19"/>
  <c r="C27" i="19" s="1"/>
  <c r="C41" i="19" s="1"/>
  <c r="C54" i="19" s="1"/>
  <c r="C9" i="19"/>
  <c r="L57" i="19"/>
  <c r="H11" i="21"/>
  <c r="Q39" i="20"/>
  <c r="Q42" i="20" s="1"/>
  <c r="P39" i="20"/>
  <c r="P42" i="20"/>
  <c r="O39" i="20"/>
  <c r="O42" i="20" s="1"/>
  <c r="L39" i="20"/>
  <c r="L42" i="20" s="1"/>
  <c r="K39" i="20"/>
  <c r="K42" i="20" s="1"/>
  <c r="J39" i="20"/>
  <c r="J42" i="20"/>
  <c r="I39" i="20"/>
  <c r="I42" i="20" s="1"/>
  <c r="H39" i="20"/>
  <c r="H42" i="20" s="1"/>
  <c r="G39" i="20"/>
  <c r="G42" i="20" s="1"/>
  <c r="F39" i="20"/>
  <c r="F42" i="20"/>
  <c r="E39" i="20"/>
  <c r="R38" i="20"/>
  <c r="I23" i="21" s="1"/>
  <c r="R37" i="20"/>
  <c r="I22" i="21" s="1"/>
  <c r="R36" i="20"/>
  <c r="I17" i="21" s="1"/>
  <c r="R32" i="20"/>
  <c r="K10" i="22" s="1"/>
  <c r="R25" i="20"/>
  <c r="C17" i="20"/>
  <c r="C18" i="20" s="1"/>
  <c r="C19" i="20" s="1"/>
  <c r="C20" i="20" s="1"/>
  <c r="C21" i="20" s="1"/>
  <c r="C22" i="20" s="1"/>
  <c r="C23" i="20" s="1"/>
  <c r="C24" i="20" s="1"/>
  <c r="C25" i="20" s="1"/>
  <c r="C36" i="20" s="1"/>
  <c r="C37" i="20" s="1"/>
  <c r="J60" i="19"/>
  <c r="I60" i="19"/>
  <c r="H60" i="19"/>
  <c r="G60" i="19"/>
  <c r="F60" i="19"/>
  <c r="M55" i="19"/>
  <c r="D55" i="19"/>
  <c r="L55" i="19" s="1"/>
  <c r="M54" i="19"/>
  <c r="D54" i="19"/>
  <c r="M53" i="19"/>
  <c r="D53" i="19"/>
  <c r="L53" i="19" s="1"/>
  <c r="I47" i="19"/>
  <c r="H47" i="19"/>
  <c r="G47" i="19"/>
  <c r="F47" i="19"/>
  <c r="D29" i="19"/>
  <c r="D43" i="19"/>
  <c r="D28" i="19"/>
  <c r="D42" i="19" s="1"/>
  <c r="D27" i="19"/>
  <c r="D41" i="19" s="1"/>
  <c r="D26" i="19"/>
  <c r="D40" i="19" s="1"/>
  <c r="C26" i="19"/>
  <c r="C40" i="19" s="1"/>
  <c r="C53" i="19" s="1"/>
  <c r="Y21" i="19"/>
  <c r="X21" i="19"/>
  <c r="W21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D15" i="19"/>
  <c r="D14" i="19"/>
  <c r="D13" i="19"/>
  <c r="D12" i="19"/>
  <c r="D11" i="19"/>
  <c r="D10" i="19"/>
  <c r="D16" i="19" s="1"/>
  <c r="R33" i="20" s="1"/>
  <c r="D9" i="19"/>
  <c r="E42" i="20"/>
  <c r="T106" i="17"/>
  <c r="N106" i="17"/>
  <c r="R108" i="17"/>
  <c r="N110" i="17"/>
  <c r="R112" i="17"/>
  <c r="N114" i="17"/>
  <c r="R114" i="17"/>
  <c r="N105" i="17"/>
  <c r="L108" i="17"/>
  <c r="L110" i="17"/>
  <c r="L116" i="17"/>
  <c r="N46" i="17"/>
  <c r="L38" i="17"/>
  <c r="L42" i="17"/>
  <c r="R50" i="17"/>
  <c r="N53" i="17"/>
  <c r="R53" i="17"/>
  <c r="R54" i="17"/>
  <c r="N55" i="17"/>
  <c r="N56" i="17"/>
  <c r="R57" i="17"/>
  <c r="N58" i="17"/>
  <c r="N59" i="17"/>
  <c r="R59" i="17"/>
  <c r="N60" i="17"/>
  <c r="L51" i="17"/>
  <c r="L52" i="17"/>
  <c r="L53" i="17"/>
  <c r="L55" i="17"/>
  <c r="L56" i="17"/>
  <c r="L57" i="17"/>
  <c r="L58" i="17"/>
  <c r="L59" i="17"/>
  <c r="L60" i="17"/>
  <c r="L49" i="17"/>
  <c r="T28" i="17"/>
  <c r="U29" i="17"/>
  <c r="U30" i="17"/>
  <c r="AA21" i="17"/>
  <c r="T21" i="17"/>
  <c r="R22" i="17"/>
  <c r="N23" i="17"/>
  <c r="R23" i="17"/>
  <c r="N27" i="17"/>
  <c r="R27" i="17"/>
  <c r="R28" i="17"/>
  <c r="R31" i="17"/>
  <c r="R18" i="17"/>
  <c r="R17" i="17"/>
  <c r="T107" i="17"/>
  <c r="T105" i="17"/>
  <c r="T60" i="17"/>
  <c r="U59" i="17"/>
  <c r="T59" i="17"/>
  <c r="U57" i="17"/>
  <c r="T56" i="17"/>
  <c r="U55" i="17"/>
  <c r="T55" i="17"/>
  <c r="U53" i="17"/>
  <c r="T52" i="17"/>
  <c r="U51" i="17"/>
  <c r="T51" i="17"/>
  <c r="U49" i="17"/>
  <c r="T49" i="17"/>
  <c r="U46" i="17"/>
  <c r="U44" i="17"/>
  <c r="U42" i="17"/>
  <c r="U40" i="17"/>
  <c r="T39" i="17"/>
  <c r="U38" i="17"/>
  <c r="T38" i="17"/>
  <c r="U36" i="17"/>
  <c r="T36" i="17"/>
  <c r="T35" i="17"/>
  <c r="T32" i="17"/>
  <c r="T24" i="17"/>
  <c r="X4" i="17"/>
  <c r="V4" i="17"/>
  <c r="P4" i="17"/>
  <c r="O4" i="17"/>
  <c r="J4" i="17"/>
  <c r="I4" i="17"/>
  <c r="AH116" i="17"/>
  <c r="N116" i="17"/>
  <c r="AH115" i="17"/>
  <c r="R115" i="17"/>
  <c r="N115" i="17"/>
  <c r="L115" i="17"/>
  <c r="AH114" i="17"/>
  <c r="L114" i="17"/>
  <c r="AH113" i="17"/>
  <c r="R113" i="17"/>
  <c r="N113" i="17"/>
  <c r="L113" i="17"/>
  <c r="AH112" i="17"/>
  <c r="N112" i="17"/>
  <c r="AH111" i="17"/>
  <c r="R111" i="17"/>
  <c r="N111" i="17"/>
  <c r="AH110" i="17"/>
  <c r="R110" i="17"/>
  <c r="AH109" i="17"/>
  <c r="R109" i="17"/>
  <c r="N109" i="17"/>
  <c r="L109" i="17"/>
  <c r="AH108" i="17"/>
  <c r="N108" i="17"/>
  <c r="AH107" i="17"/>
  <c r="R107" i="17"/>
  <c r="N107" i="17"/>
  <c r="L107" i="17"/>
  <c r="AH106" i="17"/>
  <c r="L106" i="17"/>
  <c r="AH105" i="17"/>
  <c r="R105" i="17"/>
  <c r="L105" i="17"/>
  <c r="AG61" i="17"/>
  <c r="AH60" i="17"/>
  <c r="AA60" i="17"/>
  <c r="R60" i="17"/>
  <c r="AH59" i="17"/>
  <c r="AA59" i="17"/>
  <c r="AH58" i="17"/>
  <c r="AH57" i="17"/>
  <c r="AA57" i="17"/>
  <c r="AH56" i="17"/>
  <c r="AA56" i="17"/>
  <c r="R56" i="17"/>
  <c r="AH55" i="17"/>
  <c r="AA55" i="17"/>
  <c r="AH54" i="17"/>
  <c r="L54" i="17"/>
  <c r="AH53" i="17"/>
  <c r="AA53" i="17"/>
  <c r="AH52" i="17"/>
  <c r="AA52" i="17"/>
  <c r="R52" i="17"/>
  <c r="AH51" i="17"/>
  <c r="AA51" i="17"/>
  <c r="AH50" i="17"/>
  <c r="AH49" i="17"/>
  <c r="AA49" i="17"/>
  <c r="AG47" i="17"/>
  <c r="AH46" i="17"/>
  <c r="AE46" i="17"/>
  <c r="AA46" i="17"/>
  <c r="R46" i="17"/>
  <c r="L46" i="17"/>
  <c r="AH45" i="17"/>
  <c r="AE45" i="17"/>
  <c r="AA45" i="17"/>
  <c r="L45" i="17"/>
  <c r="AH44" i="17"/>
  <c r="R44" i="17"/>
  <c r="AH43" i="17"/>
  <c r="L43" i="17"/>
  <c r="AH42" i="17"/>
  <c r="AE42" i="17"/>
  <c r="AA42" i="17"/>
  <c r="R42" i="17"/>
  <c r="N42" i="17"/>
  <c r="AH41" i="17"/>
  <c r="AE41" i="17"/>
  <c r="AA41" i="17"/>
  <c r="L41" i="17"/>
  <c r="AH40" i="17"/>
  <c r="R40" i="17"/>
  <c r="AH39" i="17"/>
  <c r="AA39" i="17"/>
  <c r="L39" i="17"/>
  <c r="AH38" i="17"/>
  <c r="AE38" i="17"/>
  <c r="AA38" i="17"/>
  <c r="AH37" i="17"/>
  <c r="AE37" i="17"/>
  <c r="AA37" i="17"/>
  <c r="L37" i="17"/>
  <c r="AH36" i="17"/>
  <c r="AA36" i="17"/>
  <c r="R36" i="17"/>
  <c r="AH35" i="17"/>
  <c r="L35" i="17"/>
  <c r="AG33" i="17"/>
  <c r="AH32" i="17"/>
  <c r="R32" i="17"/>
  <c r="L32" i="17"/>
  <c r="AH31" i="17"/>
  <c r="L31" i="17"/>
  <c r="AH30" i="17"/>
  <c r="AH29" i="17"/>
  <c r="L29" i="17"/>
  <c r="AH28" i="17"/>
  <c r="L28" i="17"/>
  <c r="AH27" i="17"/>
  <c r="L27" i="17"/>
  <c r="AH26" i="17"/>
  <c r="AH25" i="17"/>
  <c r="L25" i="17"/>
  <c r="AH24" i="17"/>
  <c r="L24" i="17"/>
  <c r="AH23" i="17"/>
  <c r="L23" i="17"/>
  <c r="AH22" i="17"/>
  <c r="AH33" i="17" s="1"/>
  <c r="AH21" i="17"/>
  <c r="AG19" i="17"/>
  <c r="AG119" i="17" s="1"/>
  <c r="AG129" i="17" s="1"/>
  <c r="D13" i="20" s="1"/>
  <c r="AH18" i="17"/>
  <c r="AH17" i="17"/>
  <c r="AH16" i="17"/>
  <c r="AH15" i="17"/>
  <c r="AH14" i="17"/>
  <c r="AH13" i="17"/>
  <c r="AH12" i="17"/>
  <c r="AH11" i="17"/>
  <c r="AH10" i="17"/>
  <c r="AH9" i="17"/>
  <c r="AH8" i="17"/>
  <c r="AH7" i="17"/>
  <c r="AH19" i="17" s="1"/>
  <c r="L9" i="17"/>
  <c r="L10" i="17"/>
  <c r="L11" i="17"/>
  <c r="L13" i="17"/>
  <c r="L14" i="17"/>
  <c r="L15" i="17"/>
  <c r="L17" i="17"/>
  <c r="L18" i="17"/>
  <c r="L7" i="17"/>
  <c r="R106" i="17"/>
  <c r="U107" i="17"/>
  <c r="U106" i="17"/>
  <c r="T10" i="17"/>
  <c r="U17" i="17"/>
  <c r="AE12" i="17"/>
  <c r="U9" i="17"/>
  <c r="AE18" i="17"/>
  <c r="AE10" i="17"/>
  <c r="U13" i="17"/>
  <c r="AE16" i="17"/>
  <c r="AA15" i="17"/>
  <c r="AE14" i="17"/>
  <c r="AE8" i="17"/>
  <c r="AA32" i="17"/>
  <c r="L111" i="17"/>
  <c r="AE35" i="17"/>
  <c r="L50" i="17"/>
  <c r="L61" i="17"/>
  <c r="T17" i="17"/>
  <c r="T13" i="17"/>
  <c r="T9" i="17"/>
  <c r="AA14" i="17"/>
  <c r="AE17" i="17"/>
  <c r="AE13" i="17"/>
  <c r="AE9" i="17"/>
  <c r="AA31" i="17"/>
  <c r="AA27" i="17"/>
  <c r="AA23" i="17"/>
  <c r="U16" i="17"/>
  <c r="AA13" i="17"/>
  <c r="T16" i="17"/>
  <c r="T12" i="17"/>
  <c r="T8" i="17"/>
  <c r="AH61" i="17"/>
  <c r="U15" i="17"/>
  <c r="U11" i="17"/>
  <c r="AA11" i="17"/>
  <c r="U7" i="17"/>
  <c r="T15" i="17"/>
  <c r="T11" i="17"/>
  <c r="AA18" i="17"/>
  <c r="AA10" i="17"/>
  <c r="AA17" i="17"/>
  <c r="AA9" i="17"/>
  <c r="T18" i="17"/>
  <c r="T14" i="17"/>
  <c r="AA16" i="17"/>
  <c r="AA28" i="17"/>
  <c r="AA24" i="17"/>
  <c r="H61" i="17"/>
  <c r="AA7" i="17"/>
  <c r="N11" i="17"/>
  <c r="N15" i="17"/>
  <c r="N8" i="17"/>
  <c r="N16" i="17"/>
  <c r="N14" i="17"/>
  <c r="R10" i="17"/>
  <c r="R14" i="17"/>
  <c r="R8" i="17"/>
  <c r="R12" i="17"/>
  <c r="R16" i="17"/>
  <c r="R9" i="17"/>
  <c r="R13" i="17"/>
  <c r="AE25" i="17"/>
  <c r="AE23" i="17"/>
  <c r="AE27" i="17"/>
  <c r="AE31" i="17"/>
  <c r="AE24" i="17"/>
  <c r="AE28" i="17"/>
  <c r="AE51" i="17"/>
  <c r="AE55" i="17"/>
  <c r="AE59" i="17"/>
  <c r="AE52" i="17"/>
  <c r="AE56" i="17"/>
  <c r="AE60" i="17"/>
  <c r="AE50" i="17"/>
  <c r="AE53" i="17"/>
  <c r="AE57" i="17"/>
  <c r="AE58" i="17"/>
  <c r="R49" i="17"/>
  <c r="AE49" i="17"/>
  <c r="R19" i="20"/>
  <c r="AE115" i="17"/>
  <c r="AE116" i="17"/>
  <c r="AE114" i="17"/>
  <c r="AA110" i="17"/>
  <c r="AA111" i="17"/>
  <c r="AA112" i="17"/>
  <c r="AA113" i="17"/>
  <c r="AA114" i="17"/>
  <c r="AA115" i="17"/>
  <c r="AA116" i="17"/>
  <c r="AA109" i="17"/>
  <c r="AA108" i="17"/>
  <c r="T114" i="17"/>
  <c r="T115" i="17"/>
  <c r="T116" i="17"/>
  <c r="T109" i="17"/>
  <c r="T108" i="17"/>
  <c r="T110" i="17"/>
  <c r="T111" i="17"/>
  <c r="T112" i="17"/>
  <c r="T113" i="17"/>
  <c r="AA106" i="17"/>
  <c r="AA107" i="17"/>
  <c r="U110" i="17"/>
  <c r="U111" i="17"/>
  <c r="U112" i="17"/>
  <c r="U113" i="17"/>
  <c r="U114" i="17"/>
  <c r="U115" i="17"/>
  <c r="U116" i="17"/>
  <c r="U109" i="17"/>
  <c r="U108" i="17"/>
  <c r="AE106" i="17"/>
  <c r="AE110" i="17"/>
  <c r="AE107" i="17"/>
  <c r="AE111" i="17"/>
  <c r="AE108" i="17"/>
  <c r="AE112" i="17"/>
  <c r="AE113" i="17"/>
  <c r="AE109" i="17"/>
  <c r="AA105" i="17"/>
  <c r="R20" i="20"/>
  <c r="R23" i="20"/>
  <c r="AE105" i="17"/>
  <c r="R18" i="20"/>
  <c r="R24" i="20"/>
  <c r="M26" i="20"/>
  <c r="R22" i="20"/>
  <c r="I26" i="20"/>
  <c r="J26" i="20"/>
  <c r="L26" i="20"/>
  <c r="K26" i="20"/>
  <c r="F26" i="20"/>
  <c r="H26" i="20"/>
  <c r="G26" i="20"/>
  <c r="N26" i="20"/>
  <c r="O26" i="20"/>
  <c r="Q26" i="20"/>
  <c r="P26" i="20"/>
  <c r="R21" i="20"/>
  <c r="D60" i="19" l="1"/>
  <c r="V18" i="40"/>
  <c r="AQ18" i="46"/>
  <c r="F6" i="46"/>
  <c r="F18" i="46" s="1"/>
  <c r="BA36" i="46"/>
  <c r="Q61" i="17"/>
  <c r="AH47" i="17"/>
  <c r="D33" i="19"/>
  <c r="W33" i="41"/>
  <c r="V33" i="40"/>
  <c r="Y27" i="40"/>
  <c r="N33" i="44"/>
  <c r="P63" i="17"/>
  <c r="N63" i="17" s="1"/>
  <c r="N48" i="40"/>
  <c r="H89" i="17"/>
  <c r="AH89" i="17"/>
  <c r="AE103" i="17"/>
  <c r="AE124" i="17" s="1"/>
  <c r="L103" i="17"/>
  <c r="L75" i="17"/>
  <c r="M22" i="47"/>
  <c r="N11" i="47" s="1"/>
  <c r="D47" i="19"/>
  <c r="L56" i="19"/>
  <c r="R39" i="20"/>
  <c r="L59" i="19"/>
  <c r="N18" i="40"/>
  <c r="X18" i="40"/>
  <c r="X19" i="40" s="1"/>
  <c r="Y17" i="40"/>
  <c r="Y15" i="40"/>
  <c r="Y13" i="40"/>
  <c r="Y16" i="40"/>
  <c r="Y14" i="40"/>
  <c r="X33" i="40"/>
  <c r="X34" i="40" s="1"/>
  <c r="Y32" i="40"/>
  <c r="Y30" i="40"/>
  <c r="Y28" i="40"/>
  <c r="Y31" i="40"/>
  <c r="Y29" i="40"/>
  <c r="N33" i="45"/>
  <c r="F36" i="46"/>
  <c r="H75" i="17"/>
  <c r="AH103" i="17"/>
  <c r="AH124" i="17" s="1"/>
  <c r="N10" i="47"/>
  <c r="I24" i="21"/>
  <c r="R26" i="20"/>
  <c r="N33" i="41"/>
  <c r="N48" i="41"/>
  <c r="P48" i="41"/>
  <c r="P49" i="41" s="1"/>
  <c r="X33" i="41"/>
  <c r="X34" i="41" s="1"/>
  <c r="Y32" i="41"/>
  <c r="Z88" i="17" s="1"/>
  <c r="AA88" i="17" s="1"/>
  <c r="Y28" i="41"/>
  <c r="Z84" i="17" s="1"/>
  <c r="AA84" i="17" s="1"/>
  <c r="Y31" i="41"/>
  <c r="Y29" i="41"/>
  <c r="Y30" i="41"/>
  <c r="P33" i="41"/>
  <c r="P34" i="41" s="1"/>
  <c r="Y9" i="41"/>
  <c r="Y7" i="41"/>
  <c r="Y10" i="41"/>
  <c r="Y8" i="41"/>
  <c r="Y11" i="41"/>
  <c r="Y6" i="41"/>
  <c r="W18" i="41"/>
  <c r="Y17" i="41"/>
  <c r="Y13" i="41"/>
  <c r="Y15" i="41"/>
  <c r="Y16" i="41"/>
  <c r="Y12" i="41"/>
  <c r="Y14" i="41"/>
  <c r="N18" i="41"/>
  <c r="Y27" i="41"/>
  <c r="Z83" i="17" s="1"/>
  <c r="AA83" i="17" s="1"/>
  <c r="N33" i="40"/>
  <c r="W33" i="40"/>
  <c r="R48" i="40"/>
  <c r="W18" i="40"/>
  <c r="U61" i="17"/>
  <c r="AA61" i="17"/>
  <c r="N48" i="45"/>
  <c r="Z33" i="45"/>
  <c r="AC61" i="17"/>
  <c r="AD61" i="17"/>
  <c r="AE61" i="17"/>
  <c r="T61" i="17"/>
  <c r="S48" i="42"/>
  <c r="N18" i="42"/>
  <c r="Q33" i="42"/>
  <c r="Q34" i="42" s="1"/>
  <c r="Q18" i="42"/>
  <c r="Q19" i="42" s="1"/>
  <c r="R47" i="17"/>
  <c r="U47" i="17"/>
  <c r="AA47" i="17"/>
  <c r="T47" i="17"/>
  <c r="Q48" i="42"/>
  <c r="Q49" i="42" s="1"/>
  <c r="AD47" i="17"/>
  <c r="Z47" i="17"/>
  <c r="K47" i="17"/>
  <c r="L47" i="17"/>
  <c r="AE47" i="17"/>
  <c r="AC47" i="17"/>
  <c r="AC33" i="17"/>
  <c r="AD33" i="17"/>
  <c r="Z33" i="17"/>
  <c r="AE22" i="17"/>
  <c r="AE33" i="17" s="1"/>
  <c r="N18" i="44"/>
  <c r="R33" i="17"/>
  <c r="U33" i="17"/>
  <c r="AA22" i="17"/>
  <c r="AA33" i="17" s="1"/>
  <c r="Q33" i="17"/>
  <c r="L33" i="17"/>
  <c r="T33" i="17"/>
  <c r="K33" i="17"/>
  <c r="U19" i="17"/>
  <c r="AE19" i="17"/>
  <c r="R46" i="20"/>
  <c r="Z19" i="17"/>
  <c r="T19" i="17"/>
  <c r="Q19" i="17"/>
  <c r="L19" i="17"/>
  <c r="K19" i="17"/>
  <c r="AA8" i="17"/>
  <c r="AA19" i="17" s="1"/>
  <c r="AC19" i="17"/>
  <c r="AD139" i="17" s="1"/>
  <c r="AD19" i="17"/>
  <c r="I25" i="21"/>
  <c r="I26" i="21" s="1"/>
  <c r="R42" i="20"/>
  <c r="K4" i="22" s="1"/>
  <c r="H125" i="17"/>
  <c r="H130" i="17"/>
  <c r="U75" i="17"/>
  <c r="N33" i="42"/>
  <c r="Z61" i="17"/>
  <c r="N125" i="17"/>
  <c r="N130" i="17"/>
  <c r="Y42" i="40"/>
  <c r="Y38" i="40"/>
  <c r="Z65" i="17" s="1"/>
  <c r="AA65" i="17" s="1"/>
  <c r="Y41" i="40"/>
  <c r="Z68" i="17" s="1"/>
  <c r="AA68" i="17" s="1"/>
  <c r="Y37" i="40"/>
  <c r="Z64" i="17" s="1"/>
  <c r="AA64" i="17" s="1"/>
  <c r="Y40" i="40"/>
  <c r="Z67" i="17" s="1"/>
  <c r="AA67" i="17" s="1"/>
  <c r="Y36" i="40"/>
  <c r="Z63" i="17" s="1"/>
  <c r="Y39" i="40"/>
  <c r="Z66" i="17" s="1"/>
  <c r="AA66" i="17" s="1"/>
  <c r="W48" i="41"/>
  <c r="V83" i="17"/>
  <c r="T83" i="17" s="1"/>
  <c r="Z87" i="17"/>
  <c r="AA87" i="17" s="1"/>
  <c r="Z85" i="17"/>
  <c r="AA85" i="17" s="1"/>
  <c r="Z86" i="17"/>
  <c r="AA86" i="17" s="1"/>
  <c r="P35" i="17"/>
  <c r="N35" i="17" s="1"/>
  <c r="N47" i="17" s="1"/>
  <c r="N48" i="42"/>
  <c r="P91" i="17"/>
  <c r="N91" i="17" s="1"/>
  <c r="N103" i="17" s="1"/>
  <c r="N124" i="17" s="1"/>
  <c r="F48" i="46"/>
  <c r="N75" i="17"/>
  <c r="H33" i="17"/>
  <c r="R77" i="17"/>
  <c r="R89" i="17" s="1"/>
  <c r="Q89" i="17"/>
  <c r="Q144" i="17" s="1"/>
  <c r="Q75" i="17"/>
  <c r="R63" i="17"/>
  <c r="R75" i="17" s="1"/>
  <c r="T125" i="17"/>
  <c r="T130" i="17"/>
  <c r="Z73" i="17"/>
  <c r="AA73" i="17" s="1"/>
  <c r="Z72" i="17"/>
  <c r="AA72" i="17" s="1"/>
  <c r="Z71" i="17"/>
  <c r="AA71" i="17" s="1"/>
  <c r="Z74" i="17"/>
  <c r="AA74" i="17" s="1"/>
  <c r="Z70" i="17"/>
  <c r="AA70" i="17" s="1"/>
  <c r="Y38" i="41"/>
  <c r="Z79" i="17" s="1"/>
  <c r="AA79" i="17" s="1"/>
  <c r="Y42" i="41"/>
  <c r="Y39" i="41"/>
  <c r="Z80" i="17" s="1"/>
  <c r="AA80" i="17" s="1"/>
  <c r="Y36" i="41"/>
  <c r="Z77" i="17" s="1"/>
  <c r="Y40" i="41"/>
  <c r="Z81" i="17" s="1"/>
  <c r="AA81" i="17" s="1"/>
  <c r="Y37" i="41"/>
  <c r="Z78" i="17" s="1"/>
  <c r="AA78" i="17" s="1"/>
  <c r="Y41" i="41"/>
  <c r="Z82" i="17" s="1"/>
  <c r="AA82" i="17" s="1"/>
  <c r="H19" i="17"/>
  <c r="R61" i="17"/>
  <c r="I10" i="21"/>
  <c r="L54" i="19"/>
  <c r="W48" i="40"/>
  <c r="U89" i="17"/>
  <c r="Z69" i="17"/>
  <c r="AA69" i="17" s="1"/>
  <c r="V69" i="17"/>
  <c r="T69" i="17" s="1"/>
  <c r="T75" i="17" s="1"/>
  <c r="H47" i="17"/>
  <c r="L141" i="17" s="1"/>
  <c r="AD142" i="17"/>
  <c r="Q47" i="17"/>
  <c r="R19" i="17"/>
  <c r="N19" i="17"/>
  <c r="N61" i="17"/>
  <c r="Q142" i="17" s="1"/>
  <c r="L89" i="17"/>
  <c r="T89" i="17"/>
  <c r="AC75" i="17"/>
  <c r="AC89" i="17"/>
  <c r="AD89" i="17"/>
  <c r="N17" i="47"/>
  <c r="N18" i="47"/>
  <c r="N19" i="47"/>
  <c r="N12" i="47"/>
  <c r="N20" i="47"/>
  <c r="N33" i="17"/>
  <c r="AH75" i="17"/>
  <c r="AH119" i="17" s="1"/>
  <c r="AH129" i="17" s="1"/>
  <c r="F22" i="47"/>
  <c r="G12" i="47" s="1"/>
  <c r="AD75" i="17"/>
  <c r="AE63" i="17"/>
  <c r="AE75" i="17" s="1"/>
  <c r="N9" i="47"/>
  <c r="N48" i="43"/>
  <c r="N48" i="44"/>
  <c r="AE77" i="17"/>
  <c r="AE89" i="17" s="1"/>
  <c r="AD143" i="17" l="1"/>
  <c r="G20" i="47"/>
  <c r="Q139" i="17"/>
  <c r="N13" i="47"/>
  <c r="Q91" i="17"/>
  <c r="BA48" i="46"/>
  <c r="BA49" i="46" s="1"/>
  <c r="L60" i="19"/>
  <c r="AD144" i="17"/>
  <c r="AD119" i="17"/>
  <c r="AD129" i="17" s="1"/>
  <c r="D12" i="20" s="1"/>
  <c r="Z142" i="17"/>
  <c r="R119" i="17"/>
  <c r="L119" i="17"/>
  <c r="L129" i="17" s="1"/>
  <c r="K119" i="17"/>
  <c r="AD141" i="17"/>
  <c r="L140" i="17"/>
  <c r="Q140" i="17"/>
  <c r="AC119" i="17"/>
  <c r="AC129" i="17" s="1"/>
  <c r="D8" i="20" s="1"/>
  <c r="T119" i="17"/>
  <c r="T129" i="17" s="1"/>
  <c r="D6" i="20" s="1"/>
  <c r="U119" i="17"/>
  <c r="U129" i="17" s="1"/>
  <c r="Q119" i="17"/>
  <c r="K129" i="17"/>
  <c r="D11" i="20" s="1"/>
  <c r="M13" i="20"/>
  <c r="P13" i="20"/>
  <c r="J13" i="20"/>
  <c r="Q13" i="20"/>
  <c r="E13" i="20"/>
  <c r="E25" i="20" s="1"/>
  <c r="O13" i="20"/>
  <c r="F13" i="20"/>
  <c r="K13" i="20"/>
  <c r="L13" i="20"/>
  <c r="G13" i="20"/>
  <c r="I13" i="20"/>
  <c r="N13" i="20"/>
  <c r="H13" i="20"/>
  <c r="Q141" i="17"/>
  <c r="H119" i="17"/>
  <c r="Z89" i="17"/>
  <c r="Z144" i="17" s="1"/>
  <c r="AA77" i="17"/>
  <c r="AA89" i="17" s="1"/>
  <c r="Q143" i="17"/>
  <c r="AA63" i="17"/>
  <c r="AA75" i="17" s="1"/>
  <c r="Z75" i="17"/>
  <c r="Z143" i="17" s="1"/>
  <c r="AE119" i="17"/>
  <c r="AE129" i="17" s="1"/>
  <c r="N119" i="17"/>
  <c r="N129" i="17" s="1"/>
  <c r="D5" i="20" s="1"/>
  <c r="G9" i="47"/>
  <c r="G13" i="47"/>
  <c r="G17" i="47"/>
  <c r="G10" i="47"/>
  <c r="G18" i="47"/>
  <c r="G19" i="47"/>
  <c r="G11" i="47"/>
  <c r="N22" i="47"/>
  <c r="I11" i="21"/>
  <c r="I31" i="21" s="1"/>
  <c r="I30" i="21"/>
  <c r="L139" i="17"/>
  <c r="Z119" i="17"/>
  <c r="G22" i="47" l="1"/>
  <c r="Q103" i="17"/>
  <c r="R91" i="17"/>
  <c r="R103" i="17" s="1"/>
  <c r="R124" i="17" s="1"/>
  <c r="Q126" i="17" s="1"/>
  <c r="AA119" i="17"/>
  <c r="AA129" i="17" s="1"/>
  <c r="E12" i="20"/>
  <c r="E24" i="20" s="1"/>
  <c r="K121" i="17"/>
  <c r="Q5" i="20"/>
  <c r="F6" i="20"/>
  <c r="O8" i="20"/>
  <c r="H129" i="17"/>
  <c r="D7" i="20" s="1"/>
  <c r="R13" i="20"/>
  <c r="S25" i="20" s="1"/>
  <c r="Q121" i="17"/>
  <c r="I32" i="21"/>
  <c r="N6" i="20"/>
  <c r="I12" i="21"/>
  <c r="Z129" i="17"/>
  <c r="D10" i="20" s="1"/>
  <c r="L11" i="20"/>
  <c r="J11" i="20"/>
  <c r="Q11" i="20"/>
  <c r="O11" i="20"/>
  <c r="M11" i="20"/>
  <c r="H11" i="20"/>
  <c r="I11" i="20"/>
  <c r="N11" i="20"/>
  <c r="E11" i="20"/>
  <c r="E23" i="20" s="1"/>
  <c r="P11" i="20"/>
  <c r="G11" i="20"/>
  <c r="K11" i="20"/>
  <c r="F11" i="20"/>
  <c r="R129" i="17" l="1"/>
  <c r="Q131" i="17" s="1"/>
  <c r="Q124" i="17"/>
  <c r="Q145" i="17"/>
  <c r="P12" i="20"/>
  <c r="J12" i="20"/>
  <c r="K12" i="20"/>
  <c r="G12" i="20"/>
  <c r="Q12" i="20"/>
  <c r="F12" i="20"/>
  <c r="L12" i="20"/>
  <c r="H12" i="20"/>
  <c r="O12" i="20"/>
  <c r="M12" i="20"/>
  <c r="I12" i="20"/>
  <c r="N12" i="20"/>
  <c r="N5" i="20"/>
  <c r="P5" i="20"/>
  <c r="L5" i="20"/>
  <c r="M5" i="20"/>
  <c r="J6" i="20"/>
  <c r="K8" i="20"/>
  <c r="G5" i="20"/>
  <c r="O5" i="20"/>
  <c r="E6" i="20"/>
  <c r="E18" i="20" s="1"/>
  <c r="I5" i="20"/>
  <c r="P8" i="20"/>
  <c r="F5" i="20"/>
  <c r="E5" i="20"/>
  <c r="E17" i="20" s="1"/>
  <c r="P6" i="20"/>
  <c r="H6" i="20"/>
  <c r="J5" i="20"/>
  <c r="H5" i="20"/>
  <c r="K5" i="20"/>
  <c r="O6" i="20"/>
  <c r="L6" i="20"/>
  <c r="M8" i="20"/>
  <c r="G6" i="20"/>
  <c r="Q6" i="20"/>
  <c r="I6" i="20"/>
  <c r="E8" i="20"/>
  <c r="E20" i="20" s="1"/>
  <c r="K6" i="20"/>
  <c r="M6" i="20"/>
  <c r="H8" i="20"/>
  <c r="G8" i="20"/>
  <c r="N8" i="20"/>
  <c r="Q8" i="20"/>
  <c r="I8" i="20"/>
  <c r="J8" i="20"/>
  <c r="L8" i="20"/>
  <c r="F8" i="20"/>
  <c r="R11" i="20"/>
  <c r="S23" i="20" s="1"/>
  <c r="U23" i="20" s="1"/>
  <c r="F7" i="20"/>
  <c r="O7" i="20"/>
  <c r="L7" i="20"/>
  <c r="Q7" i="20"/>
  <c r="N7" i="20"/>
  <c r="J7" i="20"/>
  <c r="E7" i="20"/>
  <c r="E19" i="20" s="1"/>
  <c r="G7" i="20"/>
  <c r="M7" i="20"/>
  <c r="P7" i="20"/>
  <c r="K7" i="20"/>
  <c r="I7" i="20"/>
  <c r="H7" i="20"/>
  <c r="N10" i="20"/>
  <c r="O10" i="20"/>
  <c r="J10" i="20"/>
  <c r="L10" i="20"/>
  <c r="F10" i="20"/>
  <c r="E10" i="20"/>
  <c r="Q10" i="20"/>
  <c r="M10" i="20"/>
  <c r="H10" i="20"/>
  <c r="I10" i="20"/>
  <c r="K10" i="20"/>
  <c r="G10" i="20"/>
  <c r="P10" i="20"/>
  <c r="K126" i="17" l="1"/>
  <c r="Q129" i="17"/>
  <c r="R12" i="20"/>
  <c r="S24" i="20" s="1"/>
  <c r="U24" i="20" s="1"/>
  <c r="R5" i="20"/>
  <c r="S17" i="20" s="1"/>
  <c r="U17" i="20" s="1"/>
  <c r="R6" i="20"/>
  <c r="S18" i="20" s="1"/>
  <c r="U18" i="20" s="1"/>
  <c r="R8" i="20"/>
  <c r="S20" i="20" s="1"/>
  <c r="U20" i="20" s="1"/>
  <c r="R7" i="20"/>
  <c r="S19" i="20" s="1"/>
  <c r="U19" i="20" s="1"/>
  <c r="R10" i="20"/>
  <c r="S22" i="20" s="1"/>
  <c r="U22" i="20" s="1"/>
  <c r="E22" i="20"/>
  <c r="D9" i="20" l="1"/>
  <c r="K131" i="17"/>
  <c r="H9" i="20" l="1"/>
  <c r="H14" i="20" s="1"/>
  <c r="H29" i="20" s="1"/>
  <c r="H47" i="20" s="1"/>
  <c r="G9" i="20"/>
  <c r="G14" i="20" s="1"/>
  <c r="G29" i="20" s="1"/>
  <c r="G47" i="20" s="1"/>
  <c r="L9" i="20"/>
  <c r="L14" i="20" s="1"/>
  <c r="L29" i="20" s="1"/>
  <c r="L47" i="20" s="1"/>
  <c r="N9" i="20"/>
  <c r="N14" i="20" s="1"/>
  <c r="N29" i="20" s="1"/>
  <c r="N47" i="20" s="1"/>
  <c r="Q9" i="20"/>
  <c r="Q14" i="20" s="1"/>
  <c r="Q29" i="20" s="1"/>
  <c r="Q47" i="20" s="1"/>
  <c r="O9" i="20"/>
  <c r="O14" i="20" s="1"/>
  <c r="O29" i="20" s="1"/>
  <c r="O47" i="20" s="1"/>
  <c r="P9" i="20"/>
  <c r="P14" i="20" s="1"/>
  <c r="P29" i="20" s="1"/>
  <c r="P47" i="20" s="1"/>
  <c r="D14" i="20"/>
  <c r="M9" i="20"/>
  <c r="M14" i="20" s="1"/>
  <c r="M29" i="20" s="1"/>
  <c r="M47" i="20" s="1"/>
  <c r="E9" i="20"/>
  <c r="J9" i="20"/>
  <c r="J14" i="20" s="1"/>
  <c r="J29" i="20" s="1"/>
  <c r="J47" i="20" s="1"/>
  <c r="F9" i="20"/>
  <c r="I9" i="20"/>
  <c r="I14" i="20" s="1"/>
  <c r="I29" i="20" s="1"/>
  <c r="I47" i="20" s="1"/>
  <c r="K9" i="20"/>
  <c r="K14" i="20" s="1"/>
  <c r="K29" i="20" s="1"/>
  <c r="K47" i="20" s="1"/>
  <c r="F14" i="20" l="1"/>
  <c r="R9" i="20"/>
  <c r="S21" i="20" s="1"/>
  <c r="U21" i="20" s="1"/>
  <c r="E21" i="20"/>
  <c r="E26" i="20" s="1"/>
  <c r="E14" i="20"/>
  <c r="E29" i="20" s="1"/>
  <c r="R14" i="20" l="1"/>
  <c r="S26" i="20" s="1"/>
  <c r="U26" i="20" s="1"/>
  <c r="F29" i="20"/>
  <c r="R29" i="20" l="1"/>
  <c r="F47" i="20"/>
  <c r="E50" i="20" l="1"/>
  <c r="R47" i="20"/>
  <c r="K13" i="22" s="1"/>
  <c r="K7" i="22"/>
</calcChain>
</file>

<file path=xl/comments1.xml><?xml version="1.0" encoding="utf-8"?>
<comments xmlns="http://schemas.openxmlformats.org/spreadsheetml/2006/main">
  <authors>
    <author>Lucie</author>
  </authors>
  <commentList>
    <comment ref="S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3.10.2013 - 7.10.2014</t>
        </r>
      </text>
    </comment>
    <comment ref="O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S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8.10.2014 - 9.10.2015</t>
        </r>
      </text>
    </comment>
    <comment ref="S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10.10.2015 - 12.10.2016</t>
        </r>
      </text>
    </comment>
  </commentList>
</comments>
</file>

<file path=xl/comments2.xml><?xml version="1.0" encoding="utf-8"?>
<comments xmlns="http://schemas.openxmlformats.org/spreadsheetml/2006/main">
  <authors>
    <author>Lucie</author>
  </authors>
  <commentList>
    <comment ref="O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</commentList>
</comments>
</file>

<file path=xl/comments3.xml><?xml version="1.0" encoding="utf-8"?>
<comments xmlns="http://schemas.openxmlformats.org/spreadsheetml/2006/main">
  <authors>
    <author>Lucie</author>
  </authors>
  <commentList>
    <comment ref="T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3.10.2013 - 7.10.2014</t>
        </r>
      </text>
    </comment>
    <comment ref="T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8.10.2014 - 7.10.2015</t>
        </r>
      </text>
    </comment>
    <comment ref="T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8.10.2015 - 12.10.2016</t>
        </r>
      </text>
    </comment>
  </commentList>
</comments>
</file>

<file path=xl/comments4.xml><?xml version="1.0" encoding="utf-8"?>
<comments xmlns="http://schemas.openxmlformats.org/spreadsheetml/2006/main">
  <authors>
    <author>Lucie</author>
  </authors>
  <commentList>
    <comment ref="S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16.10.2013 - 15.10.2014</t>
        </r>
      </text>
    </comment>
    <comment ref="U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16.10.2013 - 15.10.2014</t>
        </r>
      </text>
    </comment>
    <comment ref="Y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1.1.2014 - 8.7.2014</t>
        </r>
      </text>
    </comment>
    <comment ref="O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Y12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9.7.2014 - 31.12.2014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S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16.10.2013 - 13.10.2014</t>
        </r>
      </text>
    </comment>
    <comment ref="U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16.10.2014 - 13.10.2015</t>
        </r>
      </text>
    </comment>
    <comment ref="Y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1.1.2015 - 8.7.2015</t>
        </r>
      </text>
    </comment>
    <comment ref="S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14.10.2015 - 17.10.2016</t>
        </r>
      </text>
    </comment>
    <comment ref="U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14.10.2015 - 17.10.2016</t>
        </r>
      </text>
    </comment>
    <comment ref="Y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1.5.2016-12.7.2016</t>
        </r>
      </text>
    </comment>
    <comment ref="Y42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13.7.2016-31.12.2016</t>
        </r>
      </text>
    </comment>
  </commentList>
</comments>
</file>

<file path=xl/comments5.xml><?xml version="1.0" encoding="utf-8"?>
<comments xmlns="http://schemas.openxmlformats.org/spreadsheetml/2006/main">
  <authors>
    <author>Lucie</author>
  </authors>
  <commentList>
    <comment ref="V12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1.7.2014-8.7.2014
9.7.2014-31.7.2014</t>
        </r>
      </text>
    </comment>
    <comment ref="V27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1.7.2015-8.7.2015
9.7.2015-31.7.2015</t>
        </r>
      </text>
    </comment>
    <comment ref="V42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1.7.2016-14.7.2016</t>
        </r>
      </text>
    </comment>
  </commentList>
</comments>
</file>

<file path=xl/comments6.xml><?xml version="1.0" encoding="utf-8"?>
<comments xmlns="http://schemas.openxmlformats.org/spreadsheetml/2006/main">
  <authors>
    <author>Lucie</author>
    <author>Pučelík Lukáš</author>
  </authors>
  <commentList>
    <comment ref="V12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1.7.2014-8.7.2014
9.7.2014-31.7.2014</t>
        </r>
      </text>
    </comment>
    <comment ref="V27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1.7.2015-8.7.2015
9.7.2015-31.7.2015</t>
        </r>
      </text>
    </comment>
    <comment ref="W3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přepočet vzorcem nesouhlasí s údaji na faktuře (asi je tam chyba)</t>
        </r>
      </text>
    </comment>
    <comment ref="W31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2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6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7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8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 xml:space="preserve">přepočet vzorcem nesouhlasí s údaji na faktuře (asi je tam chyba)
</t>
        </r>
      </text>
    </comment>
    <comment ref="W39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>přepočet vzorcem nesouhlasí s údaji na faktuře (asi je tam chyba)</t>
        </r>
      </text>
    </comment>
    <comment ref="W40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Lucie:
</t>
        </r>
        <r>
          <rPr>
            <sz val="9"/>
            <color indexed="81"/>
            <rFont val="Tahoma"/>
            <family val="2"/>
            <charset val="238"/>
          </rPr>
          <t>přepočet vzorcem nesouhlasí s údaji na faktuře (asi je tam chyba)</t>
        </r>
      </text>
    </comment>
    <comment ref="V42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1.7.2016-12.7.2016</t>
        </r>
      </text>
    </comment>
  </commentList>
</comments>
</file>

<file path=xl/comments7.xml><?xml version="1.0" encoding="utf-8"?>
<comments xmlns="http://schemas.openxmlformats.org/spreadsheetml/2006/main">
  <authors>
    <author>Lucie</author>
  </authors>
  <commentList>
    <comment ref="G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01.01.2014-12.05.2014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01.01.2014-09.05.2014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01.01.2014-07.05.2014</t>
        </r>
      </text>
    </comment>
    <comment ref="M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01.01.2014-12.05.2014</t>
        </r>
      </text>
    </comment>
    <comment ref="O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01.01.2014-06.05.2014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01.01.2014-17.03.2014</t>
        </r>
      </text>
    </comment>
    <comment ref="S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01.01.2014-23.04.2014</t>
        </r>
      </text>
    </comment>
    <comment ref="U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01.01.2014-07.04.2014</t>
        </r>
      </text>
    </comment>
    <comment ref="W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01.01.2014-28.04.2014</t>
        </r>
      </text>
    </comment>
    <comment ref="Y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01.01.2014-20.03.2014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01.01.2014-10.03.2014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01.01.2014-28.03.2014</t>
        </r>
      </text>
    </comment>
    <comment ref="AE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01.01.2014-29.04.2014</t>
        </r>
      </text>
    </comment>
    <comment ref="AG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01.01.2014-30.04.2014</t>
        </r>
      </text>
    </comment>
    <comment ref="AI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01.01.2014-24.04.2014</t>
        </r>
      </text>
    </comment>
    <comment ref="AK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01.01.2014-22.04.2014</t>
        </r>
      </text>
    </comment>
    <comment ref="AM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01.01.2014-28.04.2014</t>
        </r>
      </text>
    </comment>
    <comment ref="AO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01.01.2014-25.03.2014</t>
        </r>
      </text>
    </comment>
    <comment ref="AQ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01.01.2014-26.03.2014</t>
        </r>
      </text>
    </comment>
    <comment ref="AS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01.01.2014-20.03.2014</t>
        </r>
      </text>
    </comment>
    <comment ref="AU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01.01.2014-19.03.2014</t>
        </r>
      </text>
    </comment>
    <comment ref="Q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18.03.2014-31.12.2014</t>
        </r>
      </text>
    </comment>
    <comment ref="U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08.04.2014-31.12.2014</t>
        </r>
      </text>
    </comment>
    <comment ref="Y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21.03.2014-31.12.2014</t>
        </r>
      </text>
    </comment>
    <comment ref="AA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11.03.2014-31.12.2014</t>
        </r>
      </text>
    </comment>
    <comment ref="AC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29.03.2014-31.12.2014</t>
        </r>
      </text>
    </comment>
    <comment ref="AO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26.03.2014-31.12.2014</t>
        </r>
      </text>
    </comment>
    <comment ref="AQ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27.03.2014-31.12.2014</t>
        </r>
      </text>
    </comment>
    <comment ref="AS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21.03.2014-31.12.2014</t>
        </r>
      </text>
    </comment>
    <comment ref="AU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20.03.2014-31.12.2014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13.05.2014-31.12.2014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10.05.2014-31.12.2014</t>
        </r>
      </text>
    </comment>
    <comment ref="K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08.05.2014-31.12.2014</t>
        </r>
      </text>
    </comment>
    <comment ref="M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13.05.2014-31.12.2014</t>
        </r>
      </text>
    </comment>
    <comment ref="O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07.05.2014-31.12.2014</t>
        </r>
      </text>
    </comment>
    <comment ref="S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24.04.2014-31.12.2014</t>
        </r>
      </text>
    </comment>
    <comment ref="W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29.04.2014-31.12.2014</t>
        </r>
      </text>
    </comment>
    <comment ref="AE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30.04.2014-31.12.2014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01.05.2014-31.12.2014</t>
        </r>
      </text>
    </comment>
    <comment ref="AI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25.04.2014-31.12.2014</t>
        </r>
      </text>
    </comment>
    <comment ref="AK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23.04.2014-31.12.2014</t>
        </r>
      </text>
    </comment>
    <comment ref="AM1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29.04.2014-31.12.2014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1.1.2015-11.5.2015</t>
        </r>
      </text>
    </comment>
    <comment ref="I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1.1.2015-7.5.2015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1.1.2015-6.5.2015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1.1.2015-11.5.2015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1.1.2015-6.5.2015</t>
        </r>
      </text>
    </comment>
    <comment ref="Q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1.1.2015-16.3.2015</t>
        </r>
      </text>
    </comment>
    <comment ref="S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1.1.2015-22.4.2015</t>
        </r>
      </text>
    </comment>
    <comment ref="U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1.1.2015-13.4.2015</t>
        </r>
      </text>
    </comment>
    <comment ref="W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1.1.2015-27.4.2015</t>
        </r>
      </text>
    </comment>
    <comment ref="Y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1.1.2015-18.3.2015</t>
        </r>
      </text>
    </comment>
    <comment ref="AA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1.1.2015-9.3.2015</t>
        </r>
      </text>
    </comment>
    <comment ref="AC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1.1.2015-25.3.2015</t>
        </r>
      </text>
    </comment>
    <comment ref="AE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1.1.2015-28.4.2015</t>
        </r>
      </text>
    </comment>
    <comment ref="AG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1.1.2015-29.4.2015</t>
        </r>
      </text>
    </comment>
    <comment ref="AI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1.1.2015-23.4.2015</t>
        </r>
      </text>
    </comment>
    <comment ref="AK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1.1.2015-21.4.2015</t>
        </r>
      </text>
    </comment>
    <comment ref="AM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1.1.2015-29.4.2015</t>
        </r>
      </text>
    </comment>
    <comment ref="AO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1.1.2015-23.3.2015</t>
        </r>
      </text>
    </comment>
    <comment ref="AQ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1.1.2015-27.3.2015</t>
        </r>
      </text>
    </comment>
    <comment ref="AS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1.1.2015-18.3.2015</t>
        </r>
      </text>
    </comment>
    <comment ref="AU21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1.1.2015-16.3.2015</t>
        </r>
      </text>
    </comment>
    <comment ref="Q24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17.3.2015-31.12.2015</t>
        </r>
      </text>
    </comment>
    <comment ref="U24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14.4.2015-31.12.2015</t>
        </r>
      </text>
    </comment>
    <comment ref="Y24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19.3.2015-31.12.2015</t>
        </r>
      </text>
    </comment>
    <comment ref="AA24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10.3.2015-31.12.2015</t>
        </r>
      </text>
    </comment>
    <comment ref="AC24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26.3.2015-31.12.2015</t>
        </r>
      </text>
    </comment>
    <comment ref="AO24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24.3.2015-31.12.2015</t>
        </r>
      </text>
    </comment>
    <comment ref="AQ24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28.3.2015-31.12.2015</t>
        </r>
      </text>
    </comment>
    <comment ref="AS24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19.3.2015-31.12.2015</t>
        </r>
      </text>
    </comment>
    <comment ref="AU24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17.3.2015-31.12.2015</t>
        </r>
      </text>
    </comment>
    <comment ref="G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12.5.2015-31.12.2015</t>
        </r>
      </text>
    </comment>
    <comment ref="I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8.5.2015-31.12.2015</t>
        </r>
      </text>
    </comment>
    <comment ref="K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7.5.2015-31.12.2015</t>
        </r>
      </text>
    </comment>
    <comment ref="M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12.5.2015-31.12.2015</t>
        </r>
      </text>
    </comment>
    <comment ref="O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7.5.2015-31.12.2015</t>
        </r>
      </text>
    </comment>
    <comment ref="S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23.4.2015-31.12.2015</t>
        </r>
      </text>
    </comment>
    <comment ref="W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28.4.2015-31.12.2015</t>
        </r>
      </text>
    </comment>
    <comment ref="AE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29.4.2015-31.12.2015</t>
        </r>
      </text>
    </comment>
    <comment ref="AG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30.4.2015-31.12.2015</t>
        </r>
      </text>
    </comment>
    <comment ref="AI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24.4.2015-31.12.2015</t>
        </r>
      </text>
    </comment>
    <comment ref="AK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22.4.2015-31.12.2015</t>
        </r>
      </text>
    </comment>
    <comment ref="AM25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30.4.2015-31.12.2015</t>
        </r>
      </text>
    </comment>
    <comment ref="AW2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10.6.2015-31.12.2015</t>
        </r>
      </text>
    </comment>
    <comment ref="AX2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AY3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8.10.2015-31.12.2015</t>
        </r>
      </text>
    </comment>
    <comment ref="AZ3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G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1.1.2016-9.5.2016</t>
        </r>
      </text>
    </comment>
    <comment ref="I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1.1.2016-16.5.2016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1.1.2016-11.5.2016</t>
        </r>
      </text>
    </comment>
    <comment ref="M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1.1.2016-16.5.2016</t>
        </r>
      </text>
    </comment>
    <comment ref="O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1.1.2016-12.5.2016</t>
        </r>
      </text>
    </comment>
    <comment ref="Q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1.1.2016-23.3.2016</t>
        </r>
      </text>
    </comment>
    <comment ref="S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1.1.2016-25.4.2016</t>
        </r>
      </text>
    </comment>
    <comment ref="U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1.1.2016-11.4.2016</t>
        </r>
      </text>
    </comment>
    <comment ref="W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1.1.2016-2.5.2016</t>
        </r>
      </text>
    </comment>
    <comment ref="Y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1.1.2016-21.3.2016</t>
        </r>
      </text>
    </comment>
    <comment ref="AA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1.1.2016-14.3.2016</t>
        </r>
      </text>
    </comment>
    <comment ref="AC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E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1.1.2016-3.5.2016</t>
        </r>
      </text>
    </comment>
    <comment ref="AG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1.1.2016-6.5.2016</t>
        </r>
      </text>
    </comment>
    <comment ref="AI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1.1.2016-27.4.2016</t>
        </r>
      </text>
    </comment>
    <comment ref="AK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1.1.2016-26.4.2016</t>
        </r>
      </text>
    </comment>
    <comment ref="AM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1.1.2016-3.5.2016</t>
        </r>
      </text>
    </comment>
    <comment ref="AO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Q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S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1.1.2016-18.3.2016</t>
        </r>
      </text>
    </comment>
    <comment ref="AU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1.1.2016-22.3.2016</t>
        </r>
      </text>
    </comment>
    <comment ref="AW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1.1.2016-17.3.2016</t>
        </r>
      </text>
    </comment>
    <comment ref="AX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AY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1.1.2016-31.3.2016</t>
        </r>
      </text>
    </comment>
    <comment ref="AZ36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rozděleno poměrem, faktura bez podrobných údajů</t>
        </r>
      </text>
    </comment>
    <comment ref="Q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24.3.2016-31.12.2016</t>
        </r>
      </text>
    </comment>
    <comment ref="U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12.4.2016-31.12.2016</t>
        </r>
      </text>
    </comment>
    <comment ref="Y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22.3.2016-31.12.2016</t>
        </r>
      </text>
    </comment>
    <comment ref="AA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15.3.2016-31.12.2016
</t>
        </r>
      </text>
    </comment>
    <comment ref="AC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</t>
        </r>
      </text>
    </comment>
    <comment ref="AO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</t>
        </r>
      </text>
    </comment>
    <comment ref="AQ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</t>
        </r>
      </text>
    </comment>
    <comment ref="AS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19.3.2016-31.12.2016
</t>
        </r>
      </text>
    </comment>
    <comment ref="AU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23.3.2016-31.12.2016
</t>
        </r>
      </text>
    </comment>
    <comment ref="AW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18.3.2016-31.12.2016
odhad odečtu</t>
        </r>
      </text>
    </comment>
    <comment ref="AY39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1.4.2016-31.12.2016
odhad odečtu</t>
        </r>
      </text>
    </comment>
    <comment ref="G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10.5.2016-31.12.2016</t>
        </r>
      </text>
    </comment>
    <comment ref="I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17.5.2016-31.12.2016</t>
        </r>
      </text>
    </comment>
    <comment ref="K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12.5.2016-31.12.2016</t>
        </r>
      </text>
    </comment>
    <comment ref="M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17.5.2016-31.12.2016</t>
        </r>
      </text>
    </comment>
    <comment ref="O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13.5.2016-31.12.2016</t>
        </r>
      </text>
    </comment>
    <comment ref="S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26.4.2016-31.12.2016</t>
        </r>
      </text>
    </comment>
    <comment ref="W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3.5.2016-31.12.2016</t>
        </r>
      </text>
    </comment>
    <comment ref="AE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4.5.2016-31.12.2016</t>
        </r>
      </text>
    </comment>
    <comment ref="AG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7.5.2016-31.12.2016</t>
        </r>
      </text>
    </comment>
    <comment ref="AI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28.4.2016-31.12.2016</t>
        </r>
      </text>
    </comment>
    <comment ref="AK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27.4.2016-31.12.2016</t>
        </r>
      </text>
    </comment>
    <comment ref="AM40" authorId="0" shapeId="0">
      <text>
        <r>
          <rPr>
            <b/>
            <sz val="9"/>
            <color indexed="81"/>
            <rFont val="Tahoma"/>
            <family val="2"/>
            <charset val="238"/>
          </rPr>
          <t>Lucie:</t>
        </r>
        <r>
          <rPr>
            <sz val="9"/>
            <color indexed="81"/>
            <rFont val="Tahoma"/>
            <family val="2"/>
            <charset val="238"/>
          </rPr>
          <t xml:space="preserve">
4.5.2016-31.12.2016</t>
        </r>
      </text>
    </comment>
  </commentList>
</comments>
</file>

<file path=xl/comments8.xml><?xml version="1.0" encoding="utf-8"?>
<comments xmlns="http://schemas.openxmlformats.org/spreadsheetml/2006/main">
  <authors>
    <author>Pučelík Lukáš</author>
  </authors>
  <commentList>
    <comment ref="T75" authorId="0" shapeId="0">
      <text>
        <r>
          <rPr>
            <b/>
            <sz val="9"/>
            <color indexed="81"/>
            <rFont val="Tahoma"/>
            <family val="2"/>
            <charset val="238"/>
          </rPr>
          <t>Pučelík Lukáš:</t>
        </r>
        <r>
          <rPr>
            <sz val="9"/>
            <color indexed="81"/>
            <rFont val="Tahoma"/>
            <family val="2"/>
            <charset val="238"/>
          </rPr>
          <t xml:space="preserve">
Referenční spotřeba zemního plynu je stanovena pro období červenec 2015 - červen 2016. Z tohoto důvodu jsou pro tuto budovu stanovena odlišná referenční klimatická data (zahrnují období červenec 2015 - červen 2016)</t>
        </r>
      </text>
    </comment>
    <comment ref="T89" authorId="0" shapeId="0">
      <text>
        <r>
          <rPr>
            <b/>
            <sz val="9"/>
            <color indexed="81"/>
            <rFont val="Tahoma"/>
            <family val="2"/>
            <charset val="238"/>
          </rPr>
          <t>Pučelík Lukáš:</t>
        </r>
        <r>
          <rPr>
            <sz val="9"/>
            <color indexed="81"/>
            <rFont val="Tahoma"/>
            <family val="2"/>
            <charset val="238"/>
          </rPr>
          <t xml:space="preserve">
Referenční spotřeba zemního plynu je stanovena pro období červenec 2015 - červen 2016. Z tohoto důvodu jsou pro tuto budovu stanovena odlišná referenční klimatická data (zahrnují období červenec 2015 - červen 2016)</t>
        </r>
      </text>
    </comment>
  </commentList>
</comments>
</file>

<file path=xl/sharedStrings.xml><?xml version="1.0" encoding="utf-8"?>
<sst xmlns="http://schemas.openxmlformats.org/spreadsheetml/2006/main" count="1005" uniqueCount="251">
  <si>
    <t>GJ</t>
  </si>
  <si>
    <t>Kč</t>
  </si>
  <si>
    <t>kWh</t>
  </si>
  <si>
    <t>celkem</t>
  </si>
  <si>
    <t>m3</t>
  </si>
  <si>
    <t>ELEKTŘINA</t>
  </si>
  <si>
    <t>vytápění</t>
  </si>
  <si>
    <t>ostatní</t>
  </si>
  <si>
    <t>Kč bez DPH</t>
  </si>
  <si>
    <t>Kč vč. DPH</t>
  </si>
  <si>
    <t>TEPLO</t>
  </si>
  <si>
    <t>ZEMNÍ PLYN</t>
  </si>
  <si>
    <t>VODA</t>
  </si>
  <si>
    <t>množství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</si>
  <si>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</si>
  <si>
    <t>platba</t>
  </si>
  <si>
    <t>OSTATNÍ PROVOZNÍ NÁKLADY</t>
  </si>
  <si>
    <t>REFERENČNÍ SPOTŘEBY</t>
  </si>
  <si>
    <t>DPH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</si>
  <si>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</si>
  <si>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</si>
  <si>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</si>
  <si>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</si>
  <si>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</si>
  <si>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</si>
  <si>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</si>
  <si>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</si>
  <si>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</si>
  <si>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</si>
  <si>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</si>
  <si>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</si>
  <si>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</si>
  <si>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Ʃ</t>
  </si>
  <si>
    <t>-</t>
  </si>
  <si>
    <t>SPOTŘEBY DLE FAKTUR</t>
  </si>
  <si>
    <t>Platby s DPH</t>
  </si>
  <si>
    <t>Poznámky k referenčnímu roku</t>
  </si>
  <si>
    <t>Všechny budovy</t>
  </si>
  <si>
    <t>Kč s DPH</t>
  </si>
  <si>
    <r>
      <t>m</t>
    </r>
    <r>
      <rPr>
        <i/>
        <vertAlign val="superscript"/>
        <sz val="8"/>
        <color theme="1"/>
        <rFont val="Calibri"/>
        <family val="2"/>
        <charset val="238"/>
        <scheme val="minor"/>
      </rPr>
      <t>3</t>
    </r>
  </si>
  <si>
    <t>Tabulka 1</t>
  </si>
  <si>
    <t>Investice do jednotlivých opatření v Kč bez DPH</t>
  </si>
  <si>
    <t>objekt č.</t>
  </si>
  <si>
    <t>název</t>
  </si>
  <si>
    <t>Investice celkem        (Kč bez DPH)</t>
  </si>
  <si>
    <t>název opatření</t>
  </si>
  <si>
    <t>Opatření 1</t>
  </si>
  <si>
    <t>Opatření 2</t>
  </si>
  <si>
    <t>Opatření 3</t>
  </si>
  <si>
    <t>Opatření 4</t>
  </si>
  <si>
    <t>Opatření 5</t>
  </si>
  <si>
    <t>Opatření 6</t>
  </si>
  <si>
    <t>Opatření 7</t>
  </si>
  <si>
    <t>Opatření 8</t>
  </si>
  <si>
    <t>Opatření 9</t>
  </si>
  <si>
    <t>Opatření 10</t>
  </si>
  <si>
    <t>Opatření 11</t>
  </si>
  <si>
    <t>Opatření 12</t>
  </si>
  <si>
    <t>Opatření 13</t>
  </si>
  <si>
    <t>Opatření 14</t>
  </si>
  <si>
    <t>Opatření 15</t>
  </si>
  <si>
    <t>Opatření 16</t>
  </si>
  <si>
    <t>Opatření 17</t>
  </si>
  <si>
    <t>Opatření 18</t>
  </si>
  <si>
    <t>Opatření 19</t>
  </si>
  <si>
    <t>Opatření 20</t>
  </si>
  <si>
    <t>možno přidat sloupce vložením dalšího řádku mezi stávající sloupce</t>
  </si>
  <si>
    <t>vyplnit --&gt;</t>
  </si>
  <si>
    <t>Celkem</t>
  </si>
  <si>
    <t>Tabulka 2</t>
  </si>
  <si>
    <t>Úspora z jednotlivých opatření v Kč/rok bez DPH (modelový rok)</t>
  </si>
  <si>
    <t>Úspora celkem        (Kč/rok bez DPH)</t>
  </si>
  <si>
    <t>Ostatní provozní náklady</t>
  </si>
  <si>
    <t>Tabulka 3</t>
  </si>
  <si>
    <t xml:space="preserve">název </t>
  </si>
  <si>
    <t>Zemní plyn</t>
  </si>
  <si>
    <t>Teplo</t>
  </si>
  <si>
    <t>Elektřina</t>
  </si>
  <si>
    <t>Voda</t>
  </si>
  <si>
    <t>(kWh/rok)</t>
  </si>
  <si>
    <t>Tabulka 4</t>
  </si>
  <si>
    <t>Úspora v Kč/rok bez DPH (modelový rok)</t>
  </si>
  <si>
    <t>Ost. náklady</t>
  </si>
  <si>
    <t>kontrola</t>
  </si>
  <si>
    <r>
      <t>(m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/rok)</t>
    </r>
  </si>
  <si>
    <t>Roky poskytnuté záruky</t>
  </si>
  <si>
    <t>celkem za počet let hodnocení</t>
  </si>
  <si>
    <t>řádek</t>
  </si>
  <si>
    <t>Elektrická energie [kWh]</t>
  </si>
  <si>
    <t>Zemní plyn [kWh]</t>
  </si>
  <si>
    <t>Voda [m3]</t>
  </si>
  <si>
    <t>Elektrická energie [Kč bez DPH]</t>
  </si>
  <si>
    <t>Zemní plyn [Kč bez DPH]</t>
  </si>
  <si>
    <t>Tepelná energie [Kč bez DPH]</t>
  </si>
  <si>
    <t>Voda [Kč bez DPH]</t>
  </si>
  <si>
    <t>Ostatní provozní náklady [Kč bez DPH]</t>
  </si>
  <si>
    <t>A = 5 + 6 + 7 + 8 + 9</t>
  </si>
  <si>
    <t>A</t>
  </si>
  <si>
    <t>po realizaci</t>
  </si>
  <si>
    <t>úspora</t>
  </si>
  <si>
    <t>B = 14 + 15 + 16 +17 +18</t>
  </si>
  <si>
    <t>B</t>
  </si>
  <si>
    <t>C - Výše zaručených úspor [Kč bez DPH]</t>
  </si>
  <si>
    <t>C = A - B</t>
  </si>
  <si>
    <t>C</t>
  </si>
  <si>
    <t>D – Investiční náklady na opatření (soubor opatření) v jednotlivých letech kontraktu [Kč bez DPH]</t>
  </si>
  <si>
    <t>D</t>
  </si>
  <si>
    <t>kontrola (musí souhlasit s Tabulkou 1 v předchozím listu)</t>
  </si>
  <si>
    <t>E – Ostatní náklady na dosažení úspor( finanční, služby atd.) v jednotlivých letech kontraktu [Kč bez DPH]</t>
  </si>
  <si>
    <t>financování zakázky (úvěr)</t>
  </si>
  <si>
    <t>energetický management</t>
  </si>
  <si>
    <t>ostatní služby</t>
  </si>
  <si>
    <t>E</t>
  </si>
  <si>
    <t>F</t>
  </si>
  <si>
    <t>H</t>
  </si>
  <si>
    <t xml:space="preserve">(v případě kladné hodnoty se jedná o "spoluúčast zadavatele") </t>
  </si>
  <si>
    <t xml:space="preserve">(v případě záporné hodnoty se jedná o "nadúsporu") </t>
  </si>
  <si>
    <t xml:space="preserve">Kč </t>
  </si>
  <si>
    <t>Cena celkem (včetně DPH)</t>
  </si>
  <si>
    <t>DPH:</t>
  </si>
  <si>
    <t>Cena celkem (bez DPH)</t>
  </si>
  <si>
    <t>4. CELKOVÁ CENA</t>
  </si>
  <si>
    <t>Cena za další služby celkem (včetně DPH)</t>
  </si>
  <si>
    <t>Cena za další služby celkem (bez DPH)</t>
  </si>
  <si>
    <t>cena za případné další služby (bez DPH)</t>
  </si>
  <si>
    <t>cena za výkon energetického managementu (bez DPH)</t>
  </si>
  <si>
    <t>3. CENA ZA DALŠÍ SLUŽBY</t>
  </si>
  <si>
    <r>
      <t>Cena za poskytnutí dodavatelského úvěru</t>
    </r>
    <r>
      <rPr>
        <i/>
        <sz val="10"/>
        <color theme="1"/>
        <rFont val="Calibri"/>
        <family val="2"/>
        <charset val="238"/>
        <scheme val="minor"/>
      </rPr>
      <t xml:space="preserve"> (nepodlého DPH)</t>
    </r>
  </si>
  <si>
    <t>2. CENA ZA ZAJIŠTĚNÍ FINANCOVÁNÍ ZAKÁZKY</t>
  </si>
  <si>
    <t>Cena za realizaci úsporných opatření celkem (včetně DPH)</t>
  </si>
  <si>
    <t>Cena za realizaci úsporných opatření celkem (bez DPH)</t>
  </si>
  <si>
    <t>1. CENA ZA REALIZACI ÚSPORNÝCH OPATŘENÍ</t>
  </si>
  <si>
    <t>níže nevyplňovat,  automaticky se načítá z předchozího listu</t>
  </si>
  <si>
    <t xml:space="preserve">  &lt; -- vyplnit</t>
  </si>
  <si>
    <t>nabídková hodnota</t>
  </si>
  <si>
    <t>(Kč bez DPH)</t>
  </si>
  <si>
    <t>(procento)</t>
  </si>
  <si>
    <t>Výše hmotných investic</t>
  </si>
  <si>
    <t>Výše zaručených úspor</t>
  </si>
  <si>
    <t>SOUHRN JEDNOTLIVÝCH HODNOTÍCÍCH KRITÉRIÍ</t>
  </si>
  <si>
    <r>
      <t>Voda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</si>
  <si>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CELKOVÉ NÁKLADY</t>
  </si>
  <si>
    <t>F - Nabídková cena [Kč bez DPH]</t>
  </si>
  <si>
    <t>(GJ/rok)</t>
  </si>
  <si>
    <r>
      <t>Úspora z jednotlivých opatření v kWh/rok, GJ/rok, resp. 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 (modelový rok)</t>
    </r>
  </si>
  <si>
    <t>Tepelná energie [GJ]</t>
  </si>
  <si>
    <t>E = 19 + 20 + 21</t>
  </si>
  <si>
    <t>TV</t>
  </si>
  <si>
    <t>vytápění + TV</t>
  </si>
  <si>
    <t>Nabídková cena</t>
  </si>
  <si>
    <t>F = D + E</t>
  </si>
  <si>
    <t>Rozdíl celkové nabídkové ceny a celkových zaručených úspor (hodnocení - kritérium 4)</t>
  </si>
  <si>
    <t>Celková výše zaručených úspor (hodnocení - kritérium 2)</t>
  </si>
  <si>
    <t>Výše hmotných investic (hodnocení - kritérium 3, dokument 5e - Povinná cenová příloha - položka 1)</t>
  </si>
  <si>
    <t>Cena za financování zakázky (dokument 5e - Povinná cenová příloha - položka 2)</t>
  </si>
  <si>
    <t>Celková nabídková cena (hodnocení  - kritérium 1, dokument 5e - Povinná cenová příloha - položka 4)</t>
  </si>
  <si>
    <t>POVINNÁ CENOVÁ PŘÍLOHA - PODKLAD PRO VYPLNĚNÍ</t>
  </si>
  <si>
    <t>EAN 859182400406754311</t>
  </si>
  <si>
    <t>OM 620307-686</t>
  </si>
  <si>
    <t>EAN 859182400406754328</t>
  </si>
  <si>
    <t>OM 620307-685</t>
  </si>
  <si>
    <t>EAN 859182400406786701</t>
  </si>
  <si>
    <t>OM 620537-1000</t>
  </si>
  <si>
    <t>EAN 859182400406788736</t>
  </si>
  <si>
    <t>OM 620537-1020</t>
  </si>
  <si>
    <t>EAN 859182400406754502</t>
  </si>
  <si>
    <t>EAN 859182400406754519</t>
  </si>
  <si>
    <t>OM 620538-580</t>
  </si>
  <si>
    <t>OM 620538-570</t>
  </si>
  <si>
    <t>EAN 859182400406756278 Království 173</t>
  </si>
  <si>
    <t>EAN 859182400406755516 
Království 391</t>
  </si>
  <si>
    <t>EAN 859182400406752379 
Rožany 1/u</t>
  </si>
  <si>
    <t>EAN 859182400406756339
Království 324</t>
  </si>
  <si>
    <t>EAN 859182400406756230
Království 4</t>
  </si>
  <si>
    <t>EAN 859182400406786541
Sukova 1065</t>
  </si>
  <si>
    <t>EAN 859182400406754304
Svojsíkova 352</t>
  </si>
  <si>
    <t>EAN 859182400406753666
Sídliště 951</t>
  </si>
  <si>
    <t>EAN 859182400406753062
Kunratice 41</t>
  </si>
  <si>
    <t>EAN 859182400406789153
Försterova 184</t>
  </si>
  <si>
    <t>EAN 859182400406787609
Nám. Míru 859</t>
  </si>
  <si>
    <t>EAN 859182400406787722
Rumburská 600</t>
  </si>
  <si>
    <t>EAN 859182400406753109
Nové Hraběcí 5</t>
  </si>
  <si>
    <t>EAN 859182400406752836
Císařský 218</t>
  </si>
  <si>
    <t>EAN 859182400406754410
Přemyslova 380</t>
  </si>
  <si>
    <t>EAN 859182400406752898
Císařský 348</t>
  </si>
  <si>
    <t>EAN 859182400406788583
T. G. Masaryka 514</t>
  </si>
  <si>
    <t>EAN 859182400406787883
T. G. Masaryka 925</t>
  </si>
  <si>
    <t>EAN 859182400406786558
Sluneční 735</t>
  </si>
  <si>
    <t>EAN 859182400406787999
Jiráskova 845</t>
  </si>
  <si>
    <t>EAN 859182400406754250
Karlova 757</t>
  </si>
  <si>
    <t>EAN 859182400408197956
Nerudova 125</t>
  </si>
  <si>
    <t>EAN 859182400408230134
Tovární 1088</t>
  </si>
  <si>
    <t>ZŠ J. Vohradského</t>
  </si>
  <si>
    <t>Tělocvična ZŠ J. Vohradského</t>
  </si>
  <si>
    <t>Jídelna ZŠ J. Vohradského</t>
  </si>
  <si>
    <t>MŠ Svojsíkova 352</t>
  </si>
  <si>
    <t>MŠ Svojsíkova 355</t>
  </si>
  <si>
    <t>Veřejné osvětlení</t>
  </si>
  <si>
    <t>Náklady za vodu nezahrnují náklady za likvidaci srážkové vody</t>
  </si>
  <si>
    <t>Spotřeba vody je zadána v období 14. 10. 2015 - 17. 10. 2016</t>
  </si>
  <si>
    <t>V roce 2016 došlo ke změně čísla OM u odběru vody</t>
  </si>
  <si>
    <t>Spotřeba vody v Tělocvičně je zahrnuta ve spotřebě vody ZŠ J. Vohradského. Důvodem je jeden společný vodoměr pro obě budovy.</t>
  </si>
  <si>
    <t>Kč/GJ</t>
  </si>
  <si>
    <t>JEDNOTKOVÉ NÁKLADY [Kč bez DPH]</t>
  </si>
  <si>
    <t>Kč/kWh</t>
  </si>
  <si>
    <r>
      <t>Kč/m</t>
    </r>
    <r>
      <rPr>
        <vertAlign val="superscript"/>
        <sz val="11"/>
        <color theme="0" tint="-0.499984740745262"/>
        <rFont val="Calibri"/>
        <family val="2"/>
        <charset val="238"/>
        <scheme val="minor"/>
      </rPr>
      <t>3</t>
    </r>
  </si>
  <si>
    <t>Referenční spotřeba zemního plynu je stanovena pro období červenec 2015 - červen 2016. Z tohoto důvodu jsou pro tuto budovu stanovena odlišná referenční klimatická data (zahrnují období červenec 2015 - červen 2016)</t>
  </si>
  <si>
    <t>ZŠ Žižkova</t>
  </si>
  <si>
    <t>KLIMADATA</t>
  </si>
  <si>
    <t>oblast:</t>
  </si>
  <si>
    <t>ti:</t>
  </si>
  <si>
    <t>°C</t>
  </si>
  <si>
    <t>Měsíc</t>
  </si>
  <si>
    <t>te</t>
  </si>
  <si>
    <t>d</t>
  </si>
  <si>
    <t>°D</t>
  </si>
  <si>
    <t>%</t>
  </si>
  <si>
    <t>Liberec</t>
  </si>
  <si>
    <t>01/2016 - 12/2016</t>
  </si>
  <si>
    <t>07/2015 - 06/2016</t>
  </si>
  <si>
    <t>Spotřeba elektřiny v období 04/2013 - 04/2015 rozdělena do jednotlivých let poměrem.</t>
  </si>
  <si>
    <t>V roce 2016 došlo ke změně čísla obou OM odběru vody</t>
  </si>
  <si>
    <t>Kč přepočt.</t>
  </si>
  <si>
    <t>náklady na realizaci opatření</t>
  </si>
  <si>
    <t>2017 (2018)</t>
  </si>
  <si>
    <t>B - Zaručená spotřeba energie v technických jednotkách a náklady na spotřebu energie a ostatní náklady po dobu trvání kontraktu [GJ, kWh, m3, Kč bez DPH]</t>
  </si>
  <si>
    <r>
      <t>A - Výchozí spotřeba energie v technických jednotkách a náklady na spotřebu energie po dobu trvání kontraktu [GJ, kWh, m</t>
    </r>
    <r>
      <rPr>
        <b/>
        <i/>
        <vertAlign val="superscript"/>
        <sz val="10"/>
        <rFont val="Calibri"/>
        <family val="2"/>
        <charset val="238"/>
        <scheme val="minor"/>
      </rPr>
      <t>3</t>
    </r>
    <r>
      <rPr>
        <b/>
        <i/>
        <sz val="10"/>
        <rFont val="Calibri"/>
        <family val="2"/>
        <charset val="238"/>
        <scheme val="minor"/>
      </rPr>
      <t>, Kč bez DPH]</t>
    </r>
  </si>
  <si>
    <t>úspory vykazované dle IPMVM/var. C [Kč bez DPH]</t>
  </si>
  <si>
    <t>Podíl úspor prokazovaných měřením na celkovém objemu úspor (hodnocení - kritérium 4)</t>
  </si>
  <si>
    <t>H = F - C</t>
  </si>
  <si>
    <t>H- Rozdíl celkové nabídkové ceny a celkových zaručených úspor [Kč bez DPH]</t>
  </si>
  <si>
    <t xml:space="preserve">Podíl úspor prokazovaných na základě měření spotřeby celého objektu/soustavy k celkovému objemu úspor </t>
  </si>
  <si>
    <t>G - Podíl úspor prokazovaných na základě měření spotřeby celého objektu/soustavy k celkovému objemu úspor [%]</t>
  </si>
  <si>
    <t>G = 22 / C</t>
  </si>
  <si>
    <t>Cena za výkon eneregtického managementu (dokument 5e - Povinná cenová příloha - položka 3a)</t>
  </si>
  <si>
    <t>Cena za případné další služby (dokument 5e - Povinná cenová příloha - položka 3b)</t>
  </si>
  <si>
    <t>RVO 3</t>
  </si>
  <si>
    <t>RVO 11</t>
  </si>
  <si>
    <t>RVO 12</t>
  </si>
  <si>
    <t>RVO NH</t>
  </si>
  <si>
    <t>RVO 6</t>
  </si>
  <si>
    <t>RVO K</t>
  </si>
  <si>
    <t>RVO 8</t>
  </si>
  <si>
    <t>RVO 4</t>
  </si>
  <si>
    <t>RVO R</t>
  </si>
  <si>
    <t>R 1</t>
  </si>
  <si>
    <t>RVO 9</t>
  </si>
  <si>
    <t>RVO C1</t>
  </si>
  <si>
    <t>RVO 10</t>
  </si>
  <si>
    <t>RVO 1</t>
  </si>
  <si>
    <t>RVO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</si>
</sst>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"/>
    <numFmt numFmtId="166" formatCode="#,##0.0"/>
    <numFmt numFmtId="167" formatCode="#,##0.000"/>
  </numFmts>
  <fonts count="7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theme="2" tint="-0.74999237037263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0"/>
      <color theme="0" tint="-0.49998474074526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b/>
      <sz val="10"/>
      <color theme="0" tint="-0.249977111117893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sz val="11"/>
      <color theme="0" tint="-0.249977111117893"/>
      <name val="Calibri"/>
      <family val="2"/>
      <charset val="238"/>
      <scheme val="minor"/>
    </font>
    <font>
      <b/>
      <i/>
      <sz val="10"/>
      <color theme="0" tint="-0.249977111117893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i/>
      <vertAlign val="superscript"/>
      <sz val="1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vertAlign val="superscript"/>
      <sz val="11"/>
      <color theme="0" tint="-0.499984740745262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 style="thin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9" fontId="2" fillId="0" borderId="0" applyFont="0" applyFill="0" applyBorder="0" applyAlignment="0" applyProtection="0"/>
    <xf numFmtId="0" fontId="36" fillId="0" borderId="0"/>
    <xf numFmtId="0" fontId="40" fillId="0" borderId="0"/>
    <xf numFmtId="9" fontId="36" fillId="0" borderId="0" applyFont="0" applyFill="0" applyBorder="0" applyAlignment="0" applyProtection="0"/>
    <xf numFmtId="0" fontId="63" fillId="0" borderId="0"/>
    <xf numFmtId="0" fontId="63" fillId="0" borderId="0"/>
    <xf numFmtId="0" fontId="63" fillId="0" borderId="0"/>
  </cellStyleXfs>
  <cellXfs count="536">
    <xf numFmtId="0" fontId="0" fillId="0" borderId="0" xfId="0"/>
    <xf numFmtId="0" fontId="11" fillId="0" borderId="0" xfId="0" applyFont="1"/>
    <xf numFmtId="0" fontId="1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7" fillId="5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3" fontId="18" fillId="5" borderId="17" xfId="0" applyNumberFormat="1" applyFont="1" applyFill="1" applyBorder="1" applyAlignment="1">
      <alignment horizontal="right" vertical="center"/>
    </xf>
    <xf numFmtId="0" fontId="18" fillId="5" borderId="17" xfId="0" applyFont="1" applyFill="1" applyBorder="1" applyAlignment="1">
      <alignment horizontal="right" vertical="center"/>
    </xf>
    <xf numFmtId="3" fontId="18" fillId="7" borderId="17" xfId="0" applyNumberFormat="1" applyFont="1" applyFill="1" applyBorder="1" applyAlignment="1">
      <alignment horizontal="right" vertical="center"/>
    </xf>
    <xf numFmtId="0" fontId="18" fillId="7" borderId="17" xfId="0" applyFont="1" applyFill="1" applyBorder="1" applyAlignment="1">
      <alignment horizontal="right" vertical="center"/>
    </xf>
    <xf numFmtId="3" fontId="18" fillId="6" borderId="17" xfId="0" applyNumberFormat="1" applyFont="1" applyFill="1" applyBorder="1" applyAlignment="1">
      <alignment horizontal="right" vertical="center"/>
    </xf>
    <xf numFmtId="0" fontId="18" fillId="6" borderId="17" xfId="0" applyFont="1" applyFill="1" applyBorder="1" applyAlignment="1">
      <alignment horizontal="right" vertical="center"/>
    </xf>
    <xf numFmtId="3" fontId="18" fillId="4" borderId="17" xfId="0" applyNumberFormat="1" applyFont="1" applyFill="1" applyBorder="1" applyAlignment="1">
      <alignment horizontal="right" vertical="center"/>
    </xf>
    <xf numFmtId="0" fontId="18" fillId="4" borderId="17" xfId="0" applyFont="1" applyFill="1" applyBorder="1" applyAlignment="1">
      <alignment horizontal="right" vertical="center"/>
    </xf>
    <xf numFmtId="0" fontId="18" fillId="8" borderId="17" xfId="0" applyFont="1" applyFill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9" fontId="19" fillId="3" borderId="0" xfId="2" applyFont="1" applyFill="1" applyAlignment="1">
      <alignment vertical="center"/>
    </xf>
    <xf numFmtId="0" fontId="17" fillId="3" borderId="17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3" fontId="17" fillId="3" borderId="0" xfId="0" applyNumberFormat="1" applyFont="1" applyFill="1" applyAlignment="1">
      <alignment vertical="center"/>
    </xf>
    <xf numFmtId="3" fontId="17" fillId="3" borderId="17" xfId="0" applyNumberFormat="1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0" fontId="14" fillId="3" borderId="17" xfId="0" applyFont="1" applyFill="1" applyBorder="1" applyAlignment="1">
      <alignment horizontal="right" vertical="center" indent="1"/>
    </xf>
    <xf numFmtId="0" fontId="14" fillId="3" borderId="0" xfId="0" applyFont="1" applyFill="1" applyBorder="1" applyAlignment="1">
      <alignment horizontal="right" vertical="center" indent="1"/>
    </xf>
    <xf numFmtId="0" fontId="17" fillId="3" borderId="0" xfId="0" applyFont="1" applyFill="1" applyAlignment="1">
      <alignment horizontal="right" vertical="center" indent="1"/>
    </xf>
    <xf numFmtId="9" fontId="21" fillId="3" borderId="17" xfId="2" applyFont="1" applyFill="1" applyBorder="1" applyAlignment="1">
      <alignment vertical="center"/>
    </xf>
    <xf numFmtId="0" fontId="21" fillId="3" borderId="17" xfId="0" applyFont="1" applyFill="1" applyBorder="1" applyAlignment="1">
      <alignment vertical="center"/>
    </xf>
    <xf numFmtId="3" fontId="17" fillId="3" borderId="0" xfId="0" applyNumberFormat="1" applyFont="1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3" borderId="17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3" fontId="18" fillId="5" borderId="17" xfId="0" applyNumberFormat="1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3" fontId="18" fillId="6" borderId="17" xfId="0" applyNumberFormat="1" applyFont="1" applyFill="1" applyBorder="1" applyAlignment="1">
      <alignment horizontal="center" vertical="center"/>
    </xf>
    <xf numFmtId="0" fontId="18" fillId="6" borderId="17" xfId="0" applyFont="1" applyFill="1" applyBorder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4" fillId="3" borderId="0" xfId="1" applyFont="1" applyFill="1" applyAlignment="1">
      <alignment vertical="center"/>
    </xf>
    <xf numFmtId="0" fontId="5" fillId="3" borderId="0" xfId="1" applyFont="1" applyFill="1" applyBorder="1" applyAlignment="1">
      <alignment vertical="center"/>
    </xf>
    <xf numFmtId="0" fontId="16" fillId="3" borderId="0" xfId="1" applyFont="1" applyFill="1" applyAlignment="1">
      <alignment vertical="center"/>
    </xf>
    <xf numFmtId="0" fontId="14" fillId="3" borderId="0" xfId="0" applyFont="1" applyFill="1" applyBorder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17" fillId="3" borderId="0" xfId="0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left" vertical="center"/>
    </xf>
    <xf numFmtId="3" fontId="5" fillId="3" borderId="0" xfId="1" applyNumberFormat="1" applyFont="1" applyFill="1" applyBorder="1" applyAlignment="1">
      <alignment vertical="center"/>
    </xf>
    <xf numFmtId="3" fontId="8" fillId="3" borderId="17" xfId="1" applyNumberFormat="1" applyFont="1" applyFill="1" applyBorder="1" applyAlignment="1">
      <alignment vertical="center"/>
    </xf>
    <xf numFmtId="3" fontId="25" fillId="3" borderId="0" xfId="1" applyNumberFormat="1" applyFont="1" applyFill="1" applyAlignment="1">
      <alignment vertical="center"/>
    </xf>
    <xf numFmtId="3" fontId="28" fillId="3" borderId="0" xfId="1" applyNumberFormat="1" applyFont="1" applyFill="1" applyAlignment="1">
      <alignment horizontal="left" vertical="center"/>
    </xf>
    <xf numFmtId="3" fontId="28" fillId="3" borderId="0" xfId="1" applyNumberFormat="1" applyFont="1" applyFill="1" applyAlignment="1">
      <alignment vertical="center"/>
    </xf>
    <xf numFmtId="3" fontId="28" fillId="3" borderId="0" xfId="1" applyNumberFormat="1" applyFont="1" applyFill="1" applyBorder="1" applyAlignment="1">
      <alignment vertical="center"/>
    </xf>
    <xf numFmtId="0" fontId="24" fillId="3" borderId="17" xfId="1" applyNumberFormat="1" applyFont="1" applyFill="1" applyBorder="1" applyAlignment="1">
      <alignment horizontal="left" vertical="center"/>
    </xf>
    <xf numFmtId="3" fontId="4" fillId="3" borderId="17" xfId="1" applyNumberFormat="1" applyFont="1" applyFill="1" applyBorder="1" applyAlignment="1">
      <alignment vertical="center"/>
    </xf>
    <xf numFmtId="3" fontId="26" fillId="3" borderId="17" xfId="1" applyNumberFormat="1" applyFont="1" applyFill="1" applyBorder="1" applyAlignment="1">
      <alignment horizontal="left" vertical="center"/>
    </xf>
    <xf numFmtId="9" fontId="26" fillId="3" borderId="17" xfId="2" applyFont="1" applyFill="1" applyBorder="1" applyAlignment="1">
      <alignment vertical="center"/>
    </xf>
    <xf numFmtId="3" fontId="27" fillId="3" borderId="17" xfId="1" applyNumberFormat="1" applyFont="1" applyFill="1" applyBorder="1" applyAlignment="1">
      <alignment vertical="center"/>
    </xf>
    <xf numFmtId="9" fontId="27" fillId="3" borderId="17" xfId="2" applyFont="1" applyFill="1" applyBorder="1" applyAlignment="1">
      <alignment vertical="center"/>
    </xf>
    <xf numFmtId="3" fontId="4" fillId="3" borderId="17" xfId="1" applyNumberFormat="1" applyFont="1" applyFill="1" applyBorder="1" applyAlignment="1">
      <alignment horizontal="right" vertical="center"/>
    </xf>
    <xf numFmtId="0" fontId="6" fillId="3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3" fontId="4" fillId="3" borderId="0" xfId="1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center" vertical="center"/>
    </xf>
    <xf numFmtId="3" fontId="18" fillId="3" borderId="0" xfId="0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Border="1" applyAlignment="1">
      <alignment vertical="center"/>
    </xf>
    <xf numFmtId="3" fontId="17" fillId="3" borderId="21" xfId="1" applyNumberFormat="1" applyFont="1" applyFill="1" applyBorder="1" applyAlignment="1">
      <alignment horizontal="right" vertical="center"/>
    </xf>
    <xf numFmtId="3" fontId="17" fillId="3" borderId="22" xfId="1" applyNumberFormat="1" applyFont="1" applyFill="1" applyBorder="1" applyAlignment="1">
      <alignment horizontal="right" vertical="center"/>
    </xf>
    <xf numFmtId="3" fontId="17" fillId="3" borderId="24" xfId="1" applyNumberFormat="1" applyFont="1" applyFill="1" applyBorder="1" applyAlignment="1">
      <alignment horizontal="right" vertical="center"/>
    </xf>
    <xf numFmtId="3" fontId="17" fillId="3" borderId="25" xfId="1" applyNumberFormat="1" applyFont="1" applyFill="1" applyBorder="1" applyAlignment="1">
      <alignment horizontal="right" vertical="center"/>
    </xf>
    <xf numFmtId="0" fontId="4" fillId="3" borderId="0" xfId="1" applyFont="1" applyFill="1" applyBorder="1" applyAlignment="1">
      <alignment horizontal="right" vertical="center"/>
    </xf>
    <xf numFmtId="4" fontId="4" fillId="3" borderId="0" xfId="1" applyNumberFormat="1" applyFont="1" applyFill="1" applyBorder="1" applyAlignment="1">
      <alignment horizontal="right" vertical="center"/>
    </xf>
    <xf numFmtId="0" fontId="5" fillId="3" borderId="17" xfId="1" applyFont="1" applyFill="1" applyBorder="1" applyAlignment="1">
      <alignment vertical="center"/>
    </xf>
    <xf numFmtId="2" fontId="8" fillId="3" borderId="0" xfId="1" applyNumberFormat="1" applyFont="1" applyFill="1" applyAlignment="1">
      <alignment vertical="center"/>
    </xf>
    <xf numFmtId="0" fontId="6" fillId="3" borderId="0" xfId="1" applyFont="1" applyFill="1" applyBorder="1" applyAlignment="1">
      <alignment vertical="center"/>
    </xf>
    <xf numFmtId="2" fontId="8" fillId="3" borderId="0" xfId="1" applyNumberFormat="1" applyFont="1" applyFill="1" applyBorder="1" applyAlignment="1">
      <alignment vertical="center"/>
    </xf>
    <xf numFmtId="3" fontId="9" fillId="3" borderId="0" xfId="1" applyNumberFormat="1" applyFont="1" applyFill="1" applyBorder="1" applyAlignment="1">
      <alignment vertical="center"/>
    </xf>
    <xf numFmtId="3" fontId="12" fillId="3" borderId="19" xfId="1" applyNumberFormat="1" applyFont="1" applyFill="1" applyBorder="1" applyAlignment="1">
      <alignment horizontal="right" vertical="center"/>
    </xf>
    <xf numFmtId="3" fontId="12" fillId="3" borderId="20" xfId="1" applyNumberFormat="1" applyFont="1" applyFill="1" applyBorder="1" applyAlignment="1">
      <alignment horizontal="right" vertical="center"/>
    </xf>
    <xf numFmtId="3" fontId="12" fillId="3" borderId="22" xfId="1" applyNumberFormat="1" applyFont="1" applyFill="1" applyBorder="1" applyAlignment="1">
      <alignment horizontal="right" vertical="center"/>
    </xf>
    <xf numFmtId="3" fontId="12" fillId="3" borderId="23" xfId="1" applyNumberFormat="1" applyFont="1" applyFill="1" applyBorder="1" applyAlignment="1">
      <alignment horizontal="right" vertical="center"/>
    </xf>
    <xf numFmtId="3" fontId="12" fillId="3" borderId="25" xfId="1" applyNumberFormat="1" applyFont="1" applyFill="1" applyBorder="1" applyAlignment="1">
      <alignment horizontal="right" vertical="center"/>
    </xf>
    <xf numFmtId="3" fontId="12" fillId="3" borderId="26" xfId="1" applyNumberFormat="1" applyFont="1" applyFill="1" applyBorder="1" applyAlignment="1">
      <alignment horizontal="right" vertical="center"/>
    </xf>
    <xf numFmtId="0" fontId="16" fillId="3" borderId="0" xfId="1" applyFont="1" applyFill="1" applyBorder="1" applyAlignment="1">
      <alignment vertical="center"/>
    </xf>
    <xf numFmtId="0" fontId="30" fillId="3" borderId="0" xfId="1" applyFont="1" applyFill="1" applyAlignment="1">
      <alignment vertical="center"/>
    </xf>
    <xf numFmtId="0" fontId="31" fillId="3" borderId="17" xfId="0" applyFont="1" applyFill="1" applyBorder="1" applyAlignment="1">
      <alignment horizontal="right" vertical="center" indent="1"/>
    </xf>
    <xf numFmtId="0" fontId="13" fillId="3" borderId="0" xfId="1" applyFont="1" applyFill="1" applyAlignment="1">
      <alignment vertical="center"/>
    </xf>
    <xf numFmtId="3" fontId="0" fillId="3" borderId="17" xfId="0" applyNumberFormat="1" applyFont="1" applyFill="1" applyBorder="1" applyAlignment="1">
      <alignment vertical="center"/>
    </xf>
    <xf numFmtId="0" fontId="33" fillId="3" borderId="0" xfId="0" applyFont="1" applyFill="1" applyAlignment="1">
      <alignment horizontal="right" vertical="center"/>
    </xf>
    <xf numFmtId="0" fontId="17" fillId="3" borderId="17" xfId="0" applyFont="1" applyFill="1" applyBorder="1" applyAlignment="1">
      <alignment horizontal="left" vertical="center"/>
    </xf>
    <xf numFmtId="0" fontId="14" fillId="3" borderId="17" xfId="0" applyFont="1" applyFill="1" applyBorder="1" applyAlignment="1">
      <alignment horizontal="right" vertical="center"/>
    </xf>
    <xf numFmtId="0" fontId="19" fillId="0" borderId="0" xfId="0" applyFont="1"/>
    <xf numFmtId="0" fontId="18" fillId="0" borderId="27" xfId="0" applyFont="1" applyBorder="1" applyAlignment="1"/>
    <xf numFmtId="0" fontId="18" fillId="0" borderId="14" xfId="0" applyFont="1" applyBorder="1" applyAlignment="1"/>
    <xf numFmtId="0" fontId="17" fillId="0" borderId="28" xfId="0" applyFont="1" applyBorder="1"/>
    <xf numFmtId="0" fontId="17" fillId="0" borderId="0" xfId="0" applyFont="1"/>
    <xf numFmtId="0" fontId="18" fillId="0" borderId="8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41" fillId="0" borderId="0" xfId="0" applyFont="1" applyFill="1" applyBorder="1" applyAlignment="1">
      <alignment horizontal="left"/>
    </xf>
    <xf numFmtId="0" fontId="17" fillId="0" borderId="10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3" fontId="42" fillId="8" borderId="11" xfId="0" applyNumberFormat="1" applyFont="1" applyFill="1" applyBorder="1" applyAlignment="1">
      <alignment horizontal="right" indent="1"/>
    </xf>
    <xf numFmtId="3" fontId="17" fillId="6" borderId="10" xfId="0" applyNumberFormat="1" applyFont="1" applyFill="1" applyBorder="1" applyAlignment="1">
      <alignment horizontal="right" indent="1"/>
    </xf>
    <xf numFmtId="3" fontId="17" fillId="6" borderId="1" xfId="0" applyNumberFormat="1" applyFont="1" applyFill="1" applyBorder="1" applyAlignment="1">
      <alignment horizontal="right" indent="1"/>
    </xf>
    <xf numFmtId="3" fontId="17" fillId="6" borderId="11" xfId="0" applyNumberFormat="1" applyFont="1" applyFill="1" applyBorder="1" applyAlignment="1">
      <alignment horizontal="right" indent="1"/>
    </xf>
    <xf numFmtId="0" fontId="17" fillId="0" borderId="12" xfId="0" applyFont="1" applyBorder="1" applyAlignment="1">
      <alignment horizontal="center"/>
    </xf>
    <xf numFmtId="0" fontId="17" fillId="0" borderId="39" xfId="0" applyFont="1" applyBorder="1" applyAlignment="1">
      <alignment horizontal="left"/>
    </xf>
    <xf numFmtId="3" fontId="42" fillId="8" borderId="13" xfId="0" applyNumberFormat="1" applyFont="1" applyFill="1" applyBorder="1" applyAlignment="1">
      <alignment horizontal="right" indent="1"/>
    </xf>
    <xf numFmtId="3" fontId="17" fillId="6" borderId="12" xfId="0" applyNumberFormat="1" applyFont="1" applyFill="1" applyBorder="1" applyAlignment="1">
      <alignment horizontal="right" indent="1"/>
    </xf>
    <xf numFmtId="3" fontId="17" fillId="6" borderId="39" xfId="0" applyNumberFormat="1" applyFont="1" applyFill="1" applyBorder="1" applyAlignment="1">
      <alignment horizontal="right" indent="1"/>
    </xf>
    <xf numFmtId="3" fontId="17" fillId="6" borderId="13" xfId="0" applyNumberFormat="1" applyFont="1" applyFill="1" applyBorder="1" applyAlignment="1">
      <alignment horizontal="right" indent="1"/>
    </xf>
    <xf numFmtId="3" fontId="42" fillId="8" borderId="43" xfId="0" applyNumberFormat="1" applyFont="1" applyFill="1" applyBorder="1" applyAlignment="1">
      <alignment horizontal="right" indent="1"/>
    </xf>
    <xf numFmtId="3" fontId="17" fillId="0" borderId="0" xfId="0" applyNumberFormat="1" applyFont="1"/>
    <xf numFmtId="0" fontId="18" fillId="0" borderId="31" xfId="0" applyFont="1" applyBorder="1" applyAlignment="1"/>
    <xf numFmtId="0" fontId="18" fillId="0" borderId="33" xfId="0" applyFont="1" applyBorder="1" applyAlignment="1"/>
    <xf numFmtId="3" fontId="42" fillId="8" borderId="1" xfId="0" applyNumberFormat="1" applyFont="1" applyFill="1" applyBorder="1" applyAlignment="1">
      <alignment horizontal="right" indent="1"/>
    </xf>
    <xf numFmtId="3" fontId="42" fillId="8" borderId="39" xfId="0" applyNumberFormat="1" applyFont="1" applyFill="1" applyBorder="1" applyAlignment="1">
      <alignment horizontal="right" indent="1"/>
    </xf>
    <xf numFmtId="0" fontId="18" fillId="0" borderId="44" xfId="0" applyFont="1" applyBorder="1"/>
    <xf numFmtId="0" fontId="17" fillId="0" borderId="45" xfId="0" applyFont="1" applyBorder="1"/>
    <xf numFmtId="0" fontId="43" fillId="3" borderId="30" xfId="0" applyFont="1" applyFill="1" applyBorder="1" applyAlignment="1">
      <alignment horizontal="center" vertical="center" wrapText="1"/>
    </xf>
    <xf numFmtId="0" fontId="43" fillId="3" borderId="0" xfId="0" applyFont="1" applyFill="1" applyBorder="1" applyAlignment="1">
      <alignment horizontal="center" vertical="center" wrapText="1"/>
    </xf>
    <xf numFmtId="0" fontId="43" fillId="3" borderId="17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wrapText="1"/>
    </xf>
    <xf numFmtId="0" fontId="18" fillId="3" borderId="1" xfId="0" applyFont="1" applyFill="1" applyBorder="1" applyAlignment="1">
      <alignment horizontal="center" wrapText="1"/>
    </xf>
    <xf numFmtId="0" fontId="18" fillId="3" borderId="11" xfId="0" applyFont="1" applyFill="1" applyBorder="1" applyAlignment="1">
      <alignment horizontal="center" wrapText="1"/>
    </xf>
    <xf numFmtId="0" fontId="17" fillId="0" borderId="5" xfId="0" applyFont="1" applyBorder="1"/>
    <xf numFmtId="3" fontId="44" fillId="8" borderId="1" xfId="0" applyNumberFormat="1" applyFont="1" applyFill="1" applyBorder="1" applyAlignment="1">
      <alignment horizontal="right" indent="1"/>
    </xf>
    <xf numFmtId="0" fontId="19" fillId="0" borderId="0" xfId="0" applyFont="1" applyFill="1" applyBorder="1" applyAlignment="1">
      <alignment horizontal="center"/>
    </xf>
    <xf numFmtId="3" fontId="43" fillId="8" borderId="55" xfId="0" applyNumberFormat="1" applyFont="1" applyFill="1" applyBorder="1" applyAlignment="1">
      <alignment horizontal="right" indent="1"/>
    </xf>
    <xf numFmtId="0" fontId="17" fillId="0" borderId="55" xfId="0" applyFont="1" applyBorder="1"/>
    <xf numFmtId="3" fontId="17" fillId="8" borderId="56" xfId="0" applyNumberFormat="1" applyFont="1" applyFill="1" applyBorder="1" applyAlignment="1">
      <alignment horizontal="right" indent="1"/>
    </xf>
    <xf numFmtId="3" fontId="17" fillId="8" borderId="57" xfId="0" applyNumberFormat="1" applyFont="1" applyFill="1" applyBorder="1" applyAlignment="1">
      <alignment horizontal="right" indent="1"/>
    </xf>
    <xf numFmtId="3" fontId="17" fillId="8" borderId="58" xfId="0" applyNumberFormat="1" applyFont="1" applyFill="1" applyBorder="1" applyAlignment="1">
      <alignment horizontal="right" indent="1"/>
    </xf>
    <xf numFmtId="0" fontId="45" fillId="0" borderId="0" xfId="0" applyFont="1" applyAlignment="1">
      <alignment horizontal="center"/>
    </xf>
    <xf numFmtId="0" fontId="18" fillId="0" borderId="27" xfId="0" applyFont="1" applyBorder="1"/>
    <xf numFmtId="0" fontId="17" fillId="0" borderId="30" xfId="0" applyFont="1" applyBorder="1"/>
    <xf numFmtId="0" fontId="17" fillId="0" borderId="3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8" fillId="3" borderId="60" xfId="0" applyFont="1" applyFill="1" applyBorder="1" applyAlignment="1">
      <alignment horizontal="center" vertical="center" wrapText="1"/>
    </xf>
    <xf numFmtId="0" fontId="18" fillId="3" borderId="63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7" fillId="0" borderId="1" xfId="0" applyFont="1" applyBorder="1"/>
    <xf numFmtId="3" fontId="42" fillId="8" borderId="36" xfId="0" applyNumberFormat="1" applyFont="1" applyFill="1" applyBorder="1" applyAlignment="1">
      <alignment horizontal="right" indent="1"/>
    </xf>
    <xf numFmtId="3" fontId="42" fillId="8" borderId="55" xfId="0" applyNumberFormat="1" applyFont="1" applyFill="1" applyBorder="1" applyAlignment="1">
      <alignment horizontal="right" indent="1"/>
    </xf>
    <xf numFmtId="3" fontId="17" fillId="0" borderId="53" xfId="0" applyNumberFormat="1" applyFont="1" applyBorder="1" applyAlignment="1">
      <alignment horizontal="right" indent="1"/>
    </xf>
    <xf numFmtId="3" fontId="17" fillId="0" borderId="54" xfId="0" applyNumberFormat="1" applyFont="1" applyBorder="1" applyAlignment="1">
      <alignment horizontal="right" indent="1"/>
    </xf>
    <xf numFmtId="3" fontId="17" fillId="0" borderId="61" xfId="0" applyNumberFormat="1" applyFont="1" applyBorder="1" applyAlignment="1">
      <alignment horizontal="right" indent="1"/>
    </xf>
    <xf numFmtId="3" fontId="10" fillId="0" borderId="37" xfId="3" applyNumberFormat="1" applyFont="1" applyFill="1" applyBorder="1" applyAlignment="1" applyProtection="1">
      <alignment horizontal="center"/>
      <protection locked="0"/>
    </xf>
    <xf numFmtId="3" fontId="10" fillId="0" borderId="40" xfId="3" applyNumberFormat="1" applyFont="1" applyFill="1" applyBorder="1" applyAlignment="1" applyProtection="1">
      <alignment horizontal="center"/>
      <protection locked="0"/>
    </xf>
    <xf numFmtId="3" fontId="10" fillId="0" borderId="36" xfId="3" applyNumberFormat="1" applyFont="1" applyFill="1" applyBorder="1" applyAlignment="1" applyProtection="1">
      <alignment horizontal="center"/>
      <protection locked="0"/>
    </xf>
    <xf numFmtId="3" fontId="10" fillId="0" borderId="6" xfId="3" applyNumberFormat="1" applyFont="1" applyFill="1" applyBorder="1" applyAlignment="1" applyProtection="1">
      <alignment horizontal="center"/>
      <protection locked="0"/>
    </xf>
    <xf numFmtId="0" fontId="12" fillId="3" borderId="0" xfId="3" applyFont="1" applyFill="1" applyProtection="1"/>
    <xf numFmtId="0" fontId="4" fillId="3" borderId="1" xfId="3" applyFont="1" applyFill="1" applyBorder="1" applyAlignment="1" applyProtection="1">
      <alignment horizontal="center"/>
      <protection locked="0"/>
    </xf>
    <xf numFmtId="0" fontId="4" fillId="3" borderId="28" xfId="3" quotePrefix="1" applyFont="1" applyFill="1" applyBorder="1" applyAlignment="1" applyProtection="1">
      <protection locked="0"/>
    </xf>
    <xf numFmtId="0" fontId="4" fillId="3" borderId="0" xfId="3" quotePrefix="1" applyFont="1" applyFill="1" applyAlignment="1" applyProtection="1">
      <alignment horizontal="center"/>
      <protection locked="0"/>
    </xf>
    <xf numFmtId="3" fontId="4" fillId="3" borderId="0" xfId="3" quotePrefix="1" applyNumberFormat="1" applyFont="1" applyFill="1" applyAlignment="1" applyProtection="1">
      <alignment horizontal="center"/>
      <protection locked="0"/>
    </xf>
    <xf numFmtId="0" fontId="0" fillId="0" borderId="0" xfId="0" applyFont="1"/>
    <xf numFmtId="0" fontId="12" fillId="3" borderId="0" xfId="3" applyFont="1" applyFill="1" applyAlignment="1" applyProtection="1">
      <alignment horizontal="left" wrapText="1"/>
    </xf>
    <xf numFmtId="0" fontId="12" fillId="3" borderId="0" xfId="3" applyFont="1" applyFill="1" applyAlignment="1" applyProtection="1">
      <alignment horizontal="center"/>
    </xf>
    <xf numFmtId="0" fontId="12" fillId="3" borderId="0" xfId="3" quotePrefix="1" applyFont="1" applyFill="1" applyAlignment="1" applyProtection="1">
      <alignment horizontal="center"/>
    </xf>
    <xf numFmtId="0" fontId="12" fillId="0" borderId="64" xfId="3" applyFont="1" applyBorder="1" applyProtection="1"/>
    <xf numFmtId="0" fontId="12" fillId="0" borderId="2" xfId="3" applyFont="1" applyBorder="1" applyAlignment="1" applyProtection="1">
      <alignment horizontal="center"/>
    </xf>
    <xf numFmtId="3" fontId="12" fillId="10" borderId="1" xfId="3" applyNumberFormat="1" applyFont="1" applyFill="1" applyBorder="1" applyProtection="1">
      <protection locked="0"/>
    </xf>
    <xf numFmtId="3" fontId="47" fillId="0" borderId="1" xfId="3" applyNumberFormat="1" applyFont="1" applyFill="1" applyBorder="1" applyProtection="1">
      <protection locked="0"/>
    </xf>
    <xf numFmtId="3" fontId="47" fillId="0" borderId="11" xfId="3" applyNumberFormat="1" applyFont="1" applyFill="1" applyBorder="1" applyProtection="1">
      <protection locked="0"/>
    </xf>
    <xf numFmtId="0" fontId="12" fillId="0" borderId="65" xfId="3" applyFont="1" applyBorder="1" applyProtection="1"/>
    <xf numFmtId="0" fontId="12" fillId="0" borderId="0" xfId="3" applyFont="1" applyBorder="1" applyAlignment="1" applyProtection="1">
      <alignment horizontal="center"/>
    </xf>
    <xf numFmtId="0" fontId="12" fillId="0" borderId="66" xfId="3" applyFont="1" applyBorder="1" applyProtection="1"/>
    <xf numFmtId="0" fontId="12" fillId="0" borderId="42" xfId="3" applyFont="1" applyBorder="1" applyAlignment="1" applyProtection="1">
      <alignment horizontal="center"/>
    </xf>
    <xf numFmtId="3" fontId="12" fillId="10" borderId="39" xfId="3" applyNumberFormat="1" applyFont="1" applyFill="1" applyBorder="1" applyProtection="1">
      <protection locked="0"/>
    </xf>
    <xf numFmtId="3" fontId="47" fillId="0" borderId="39" xfId="3" applyNumberFormat="1" applyFont="1" applyFill="1" applyBorder="1" applyProtection="1">
      <protection locked="0"/>
    </xf>
    <xf numFmtId="3" fontId="47" fillId="0" borderId="13" xfId="3" applyNumberFormat="1" applyFont="1" applyFill="1" applyBorder="1" applyProtection="1">
      <protection locked="0"/>
    </xf>
    <xf numFmtId="0" fontId="12" fillId="0" borderId="67" xfId="3" applyFont="1" applyBorder="1" applyProtection="1"/>
    <xf numFmtId="0" fontId="12" fillId="0" borderId="48" xfId="3" applyFont="1" applyBorder="1" applyAlignment="1" applyProtection="1">
      <alignment horizontal="center"/>
    </xf>
    <xf numFmtId="3" fontId="12" fillId="10" borderId="34" xfId="3" applyNumberFormat="1" applyFont="1" applyFill="1" applyBorder="1" applyProtection="1">
      <protection locked="0"/>
    </xf>
    <xf numFmtId="3" fontId="47" fillId="0" borderId="34" xfId="3" applyNumberFormat="1" applyFont="1" applyFill="1" applyBorder="1" applyProtection="1">
      <protection locked="0"/>
    </xf>
    <xf numFmtId="3" fontId="47" fillId="0" borderId="9" xfId="3" applyNumberFormat="1" applyFont="1" applyFill="1" applyBorder="1" applyProtection="1">
      <protection locked="0"/>
    </xf>
    <xf numFmtId="0" fontId="12" fillId="0" borderId="66" xfId="3" quotePrefix="1" applyFont="1" applyBorder="1" applyAlignment="1" applyProtection="1">
      <alignment horizontal="left"/>
    </xf>
    <xf numFmtId="0" fontId="4" fillId="0" borderId="56" xfId="3" applyFont="1" applyBorder="1" applyProtection="1"/>
    <xf numFmtId="0" fontId="4" fillId="0" borderId="54" xfId="3" applyFont="1" applyBorder="1" applyAlignment="1" applyProtection="1">
      <alignment horizontal="center"/>
    </xf>
    <xf numFmtId="3" fontId="4" fillId="10" borderId="57" xfId="3" applyNumberFormat="1" applyFont="1" applyFill="1" applyBorder="1" applyProtection="1">
      <protection locked="0"/>
    </xf>
    <xf numFmtId="3" fontId="43" fillId="10" borderId="57" xfId="3" applyNumberFormat="1" applyFont="1" applyFill="1" applyBorder="1" applyProtection="1">
      <protection locked="0"/>
    </xf>
    <xf numFmtId="3" fontId="4" fillId="10" borderId="58" xfId="3" applyNumberFormat="1" applyFont="1" applyFill="1" applyBorder="1" applyProtection="1">
      <protection locked="0"/>
    </xf>
    <xf numFmtId="0" fontId="17" fillId="0" borderId="0" xfId="0" applyFont="1" applyAlignment="1">
      <alignment horizontal="center"/>
    </xf>
    <xf numFmtId="0" fontId="12" fillId="0" borderId="38" xfId="3" applyFont="1" applyBorder="1" applyProtection="1"/>
    <xf numFmtId="3" fontId="37" fillId="0" borderId="14" xfId="3" applyNumberFormat="1" applyFont="1" applyFill="1" applyBorder="1" applyAlignment="1" applyProtection="1">
      <alignment horizontal="center"/>
      <protection locked="0"/>
    </xf>
    <xf numFmtId="3" fontId="47" fillId="3" borderId="1" xfId="3" applyNumberFormat="1" applyFont="1" applyFill="1" applyBorder="1" applyAlignment="1" applyProtection="1">
      <alignment horizontal="right"/>
      <protection locked="0"/>
    </xf>
    <xf numFmtId="3" fontId="12" fillId="6" borderId="1" xfId="3" applyNumberFormat="1" applyFont="1" applyFill="1" applyBorder="1" applyProtection="1">
      <protection locked="0"/>
    </xf>
    <xf numFmtId="3" fontId="12" fillId="6" borderId="5" xfId="3" applyNumberFormat="1" applyFont="1" applyFill="1" applyBorder="1" applyProtection="1">
      <protection locked="0"/>
    </xf>
    <xf numFmtId="3" fontId="12" fillId="6" borderId="11" xfId="3" applyNumberFormat="1" applyFont="1" applyFill="1" applyBorder="1" applyProtection="1">
      <protection locked="0"/>
    </xf>
    <xf numFmtId="164" fontId="19" fillId="0" borderId="0" xfId="2" applyNumberFormat="1" applyFont="1"/>
    <xf numFmtId="0" fontId="12" fillId="0" borderId="3" xfId="3" applyFont="1" applyBorder="1" applyAlignment="1" applyProtection="1">
      <alignment horizontal="center"/>
    </xf>
    <xf numFmtId="3" fontId="37" fillId="0" borderId="15" xfId="3" applyNumberFormat="1" applyFont="1" applyFill="1" applyBorder="1" applyAlignment="1" applyProtection="1">
      <alignment horizontal="center"/>
      <protection locked="0"/>
    </xf>
    <xf numFmtId="0" fontId="12" fillId="0" borderId="68" xfId="3" applyFont="1" applyBorder="1" applyAlignment="1" applyProtection="1">
      <alignment horizontal="center"/>
    </xf>
    <xf numFmtId="3" fontId="37" fillId="0" borderId="69" xfId="3" applyNumberFormat="1" applyFont="1" applyFill="1" applyBorder="1" applyAlignment="1" applyProtection="1">
      <alignment horizontal="center"/>
      <protection locked="0"/>
    </xf>
    <xf numFmtId="3" fontId="47" fillId="3" borderId="39" xfId="3" applyNumberFormat="1" applyFont="1" applyFill="1" applyBorder="1" applyAlignment="1" applyProtection="1">
      <alignment horizontal="right"/>
      <protection locked="0"/>
    </xf>
    <xf numFmtId="3" fontId="12" fillId="6" borderId="39" xfId="3" applyNumberFormat="1" applyFont="1" applyFill="1" applyBorder="1" applyProtection="1">
      <protection locked="0"/>
    </xf>
    <xf numFmtId="3" fontId="12" fillId="6" borderId="31" xfId="3" applyNumberFormat="1" applyFont="1" applyFill="1" applyBorder="1" applyProtection="1">
      <protection locked="0"/>
    </xf>
    <xf numFmtId="3" fontId="12" fillId="6" borderId="13" xfId="3" applyNumberFormat="1" applyFont="1" applyFill="1" applyBorder="1" applyProtection="1">
      <protection locked="0"/>
    </xf>
    <xf numFmtId="0" fontId="12" fillId="0" borderId="50" xfId="3" applyFont="1" applyBorder="1" applyAlignment="1" applyProtection="1">
      <alignment horizontal="center"/>
    </xf>
    <xf numFmtId="3" fontId="37" fillId="0" borderId="48" xfId="3" applyNumberFormat="1" applyFont="1" applyFill="1" applyBorder="1" applyAlignment="1" applyProtection="1">
      <alignment horizontal="center"/>
      <protection locked="0"/>
    </xf>
    <xf numFmtId="3" fontId="47" fillId="3" borderId="34" xfId="3" applyNumberFormat="1" applyFont="1" applyFill="1" applyBorder="1" applyAlignment="1" applyProtection="1">
      <alignment horizontal="right"/>
      <protection locked="0"/>
    </xf>
    <xf numFmtId="3" fontId="12" fillId="6" borderId="34" xfId="3" applyNumberFormat="1" applyFont="1" applyFill="1" applyBorder="1" applyProtection="1">
      <protection locked="0"/>
    </xf>
    <xf numFmtId="3" fontId="12" fillId="6" borderId="9" xfId="3" applyNumberFormat="1" applyFont="1" applyFill="1" applyBorder="1" applyProtection="1">
      <protection locked="0"/>
    </xf>
    <xf numFmtId="3" fontId="37" fillId="0" borderId="42" xfId="3" applyNumberFormat="1" applyFont="1" applyFill="1" applyBorder="1" applyAlignment="1" applyProtection="1">
      <alignment horizontal="center"/>
      <protection locked="0"/>
    </xf>
    <xf numFmtId="0" fontId="4" fillId="0" borderId="15" xfId="3" applyFont="1" applyBorder="1" applyProtection="1"/>
    <xf numFmtId="0" fontId="4" fillId="0" borderId="3" xfId="3" applyFont="1" applyBorder="1" applyAlignment="1" applyProtection="1">
      <alignment horizontal="center"/>
    </xf>
    <xf numFmtId="3" fontId="12" fillId="0" borderId="0" xfId="3" applyNumberFormat="1" applyFont="1" applyFill="1" applyBorder="1" applyProtection="1">
      <protection locked="0"/>
    </xf>
    <xf numFmtId="3" fontId="48" fillId="0" borderId="4" xfId="3" applyNumberFormat="1" applyFont="1" applyBorder="1" applyProtection="1"/>
    <xf numFmtId="3" fontId="4" fillId="0" borderId="4" xfId="3" applyNumberFormat="1" applyFont="1" applyBorder="1" applyProtection="1"/>
    <xf numFmtId="0" fontId="4" fillId="0" borderId="0" xfId="3" applyFont="1" applyBorder="1" applyProtection="1"/>
    <xf numFmtId="0" fontId="4" fillId="0" borderId="0" xfId="3" applyFont="1" applyBorder="1" applyAlignment="1" applyProtection="1">
      <alignment horizontal="center"/>
    </xf>
    <xf numFmtId="3" fontId="4" fillId="0" borderId="0" xfId="3" applyNumberFormat="1" applyFont="1" applyBorder="1" applyProtection="1"/>
    <xf numFmtId="3" fontId="49" fillId="3" borderId="0" xfId="3" applyNumberFormat="1" applyFont="1" applyFill="1" applyBorder="1" applyProtection="1"/>
    <xf numFmtId="3" fontId="17" fillId="3" borderId="0" xfId="0" applyNumberFormat="1" applyFont="1" applyFill="1"/>
    <xf numFmtId="0" fontId="4" fillId="3" borderId="0" xfId="3" applyFont="1" applyFill="1" applyProtection="1"/>
    <xf numFmtId="3" fontId="4" fillId="3" borderId="0" xfId="3" applyNumberFormat="1" applyFont="1" applyFill="1" applyBorder="1" applyProtection="1"/>
    <xf numFmtId="3" fontId="4" fillId="3" borderId="1" xfId="3" applyNumberFormat="1" applyFont="1" applyFill="1" applyBorder="1" applyProtection="1"/>
    <xf numFmtId="3" fontId="18" fillId="12" borderId="1" xfId="0" applyNumberFormat="1" applyFont="1" applyFill="1" applyBorder="1"/>
    <xf numFmtId="3" fontId="4" fillId="3" borderId="0" xfId="3" applyNumberFormat="1" applyFont="1" applyFill="1" applyBorder="1" applyAlignment="1" applyProtection="1">
      <alignment horizontal="left" indent="1"/>
    </xf>
    <xf numFmtId="0" fontId="12" fillId="0" borderId="0" xfId="3" applyFont="1" applyAlignment="1">
      <alignment horizontal="left" indent="1"/>
    </xf>
    <xf numFmtId="0" fontId="4" fillId="0" borderId="0" xfId="3" applyFont="1" applyAlignment="1" applyProtection="1">
      <alignment horizontal="center"/>
    </xf>
    <xf numFmtId="9" fontId="44" fillId="0" borderId="0" xfId="3" applyNumberFormat="1" applyFont="1" applyAlignment="1">
      <alignment horizontal="right" indent="1"/>
    </xf>
    <xf numFmtId="0" fontId="4" fillId="0" borderId="0" xfId="0" applyFont="1" applyAlignment="1">
      <alignment horizontal="left" indent="1"/>
    </xf>
    <xf numFmtId="0" fontId="12" fillId="0" borderId="15" xfId="3" applyFont="1" applyBorder="1" applyProtection="1">
      <protection locked="0"/>
    </xf>
    <xf numFmtId="0" fontId="35" fillId="0" borderId="0" xfId="0" applyFont="1"/>
    <xf numFmtId="0" fontId="12" fillId="0" borderId="0" xfId="3" applyFont="1" applyBorder="1" applyProtection="1">
      <protection locked="0"/>
    </xf>
    <xf numFmtId="3" fontId="37" fillId="0" borderId="0" xfId="3" applyNumberFormat="1" applyFont="1" applyFill="1" applyBorder="1" applyAlignment="1" applyProtection="1">
      <alignment horizontal="center"/>
      <protection locked="0"/>
    </xf>
    <xf numFmtId="3" fontId="12" fillId="3" borderId="0" xfId="3" applyNumberFormat="1" applyFont="1" applyFill="1" applyBorder="1" applyProtection="1">
      <protection locked="0"/>
    </xf>
    <xf numFmtId="0" fontId="32" fillId="0" borderId="0" xfId="0" applyFont="1"/>
    <xf numFmtId="3" fontId="18" fillId="0" borderId="0" xfId="0" applyNumberFormat="1" applyFont="1"/>
    <xf numFmtId="3" fontId="50" fillId="0" borderId="0" xfId="3" applyNumberFormat="1" applyFont="1" applyFill="1" applyBorder="1" applyAlignment="1" applyProtection="1">
      <alignment horizontal="center"/>
    </xf>
    <xf numFmtId="0" fontId="12" fillId="0" borderId="15" xfId="3" applyFont="1" applyBorder="1" applyProtection="1"/>
    <xf numFmtId="0" fontId="18" fillId="0" borderId="0" xfId="0" applyFont="1" applyAlignment="1">
      <alignment horizontal="left" indent="1"/>
    </xf>
    <xf numFmtId="3" fontId="12" fillId="6" borderId="1" xfId="3" applyNumberFormat="1" applyFont="1" applyFill="1" applyBorder="1" applyProtection="1"/>
    <xf numFmtId="3" fontId="12" fillId="0" borderId="1" xfId="3" applyNumberFormat="1" applyFont="1" applyBorder="1" applyProtection="1"/>
    <xf numFmtId="3" fontId="4" fillId="0" borderId="0" xfId="3" applyNumberFormat="1" applyFont="1" applyFill="1" applyBorder="1" applyProtection="1"/>
    <xf numFmtId="3" fontId="4" fillId="0" borderId="1" xfId="3" applyNumberFormat="1" applyFont="1" applyBorder="1" applyProtection="1"/>
    <xf numFmtId="3" fontId="4" fillId="12" borderId="1" xfId="3" applyNumberFormat="1" applyFont="1" applyFill="1" applyBorder="1" applyProtection="1"/>
    <xf numFmtId="0" fontId="46" fillId="11" borderId="0" xfId="3" applyFont="1" applyFill="1" applyAlignment="1" applyProtection="1"/>
    <xf numFmtId="0" fontId="51" fillId="0" borderId="0" xfId="0" applyFont="1"/>
    <xf numFmtId="0" fontId="38" fillId="0" borderId="0" xfId="0" applyFont="1"/>
    <xf numFmtId="0" fontId="46" fillId="0" borderId="3" xfId="3" applyFont="1" applyBorder="1" applyAlignment="1" applyProtection="1">
      <alignment horizontal="center" vertical="center"/>
    </xf>
    <xf numFmtId="3" fontId="46" fillId="0" borderId="0" xfId="3" applyNumberFormat="1" applyFont="1" applyFill="1" applyBorder="1" applyProtection="1"/>
    <xf numFmtId="0" fontId="52" fillId="0" borderId="0" xfId="3" applyFont="1" applyBorder="1" applyAlignment="1" applyProtection="1">
      <alignment horizontal="center"/>
    </xf>
    <xf numFmtId="3" fontId="52" fillId="0" borderId="0" xfId="3" applyNumberFormat="1" applyFont="1" applyBorder="1" applyProtection="1"/>
    <xf numFmtId="164" fontId="46" fillId="0" borderId="0" xfId="2" applyNumberFormat="1" applyFont="1" applyAlignment="1">
      <alignment horizontal="right"/>
    </xf>
    <xf numFmtId="0" fontId="52" fillId="0" borderId="0" xfId="3" applyFont="1" applyBorder="1" applyProtection="1"/>
    <xf numFmtId="0" fontId="0" fillId="3" borderId="0" xfId="0" applyFill="1"/>
    <xf numFmtId="0" fontId="14" fillId="3" borderId="16" xfId="0" applyFont="1" applyFill="1" applyBorder="1"/>
    <xf numFmtId="3" fontId="14" fillId="3" borderId="17" xfId="0" applyNumberFormat="1" applyFont="1" applyFill="1" applyBorder="1"/>
    <xf numFmtId="0" fontId="0" fillId="3" borderId="17" xfId="0" applyFill="1" applyBorder="1"/>
    <xf numFmtId="0" fontId="14" fillId="3" borderId="29" xfId="0" applyFont="1" applyFill="1" applyBorder="1"/>
    <xf numFmtId="0" fontId="14" fillId="3" borderId="15" xfId="0" applyFont="1" applyFill="1" applyBorder="1"/>
    <xf numFmtId="3" fontId="14" fillId="3" borderId="0" xfId="0" applyNumberFormat="1" applyFont="1" applyFill="1" applyBorder="1"/>
    <xf numFmtId="0" fontId="0" fillId="3" borderId="0" xfId="0" applyFill="1" applyBorder="1"/>
    <xf numFmtId="0" fontId="14" fillId="3" borderId="28" xfId="0" applyFont="1" applyFill="1" applyBorder="1"/>
    <xf numFmtId="0" fontId="14" fillId="3" borderId="14" xfId="0" applyFont="1" applyFill="1" applyBorder="1"/>
    <xf numFmtId="3" fontId="14" fillId="3" borderId="30" xfId="0" applyNumberFormat="1" applyFont="1" applyFill="1" applyBorder="1"/>
    <xf numFmtId="0" fontId="0" fillId="3" borderId="30" xfId="0" applyFill="1" applyBorder="1"/>
    <xf numFmtId="0" fontId="14" fillId="3" borderId="27" xfId="0" applyFont="1" applyFill="1" applyBorder="1"/>
    <xf numFmtId="0" fontId="11" fillId="3" borderId="0" xfId="0" applyFont="1" applyFill="1"/>
    <xf numFmtId="0" fontId="14" fillId="2" borderId="16" xfId="0" applyFont="1" applyFill="1" applyBorder="1"/>
    <xf numFmtId="3" fontId="14" fillId="2" borderId="17" xfId="0" applyNumberFormat="1" applyFont="1" applyFill="1" applyBorder="1"/>
    <xf numFmtId="0" fontId="0" fillId="2" borderId="17" xfId="0" applyFill="1" applyBorder="1"/>
    <xf numFmtId="0" fontId="0" fillId="2" borderId="29" xfId="0" applyFill="1" applyBorder="1"/>
    <xf numFmtId="0" fontId="14" fillId="2" borderId="15" xfId="0" applyFont="1" applyFill="1" applyBorder="1"/>
    <xf numFmtId="3" fontId="14" fillId="2" borderId="0" xfId="0" applyNumberFormat="1" applyFont="1" applyFill="1" applyBorder="1"/>
    <xf numFmtId="9" fontId="0" fillId="2" borderId="0" xfId="0" applyNumberFormat="1" applyFill="1" applyBorder="1"/>
    <xf numFmtId="0" fontId="0" fillId="2" borderId="0" xfId="0" applyFill="1" applyBorder="1"/>
    <xf numFmtId="0" fontId="0" fillId="2" borderId="28" xfId="0" applyFill="1" applyBorder="1"/>
    <xf numFmtId="0" fontId="14" fillId="2" borderId="14" xfId="0" applyFont="1" applyFill="1" applyBorder="1"/>
    <xf numFmtId="3" fontId="14" fillId="2" borderId="30" xfId="0" applyNumberFormat="1" applyFont="1" applyFill="1" applyBorder="1"/>
    <xf numFmtId="0" fontId="0" fillId="2" borderId="30" xfId="0" applyFill="1" applyBorder="1"/>
    <xf numFmtId="0" fontId="0" fillId="2" borderId="27" xfId="0" applyFill="1" applyBorder="1"/>
    <xf numFmtId="0" fontId="0" fillId="3" borderId="16" xfId="0" applyFill="1" applyBorder="1"/>
    <xf numFmtId="3" fontId="0" fillId="3" borderId="17" xfId="0" applyNumberFormat="1" applyFont="1" applyFill="1" applyBorder="1"/>
    <xf numFmtId="0" fontId="0" fillId="3" borderId="29" xfId="0" applyFill="1" applyBorder="1"/>
    <xf numFmtId="0" fontId="0" fillId="3" borderId="14" xfId="0" applyFill="1" applyBorder="1"/>
    <xf numFmtId="3" fontId="0" fillId="3" borderId="30" xfId="0" applyNumberFormat="1" applyFont="1" applyFill="1" applyBorder="1"/>
    <xf numFmtId="0" fontId="0" fillId="3" borderId="27" xfId="0" applyFill="1" applyBorder="1"/>
    <xf numFmtId="0" fontId="14" fillId="3" borderId="0" xfId="0" applyFont="1" applyFill="1"/>
    <xf numFmtId="0" fontId="14" fillId="3" borderId="0" xfId="0" applyFont="1" applyFill="1" applyAlignment="1">
      <alignment horizontal="right"/>
    </xf>
    <xf numFmtId="0" fontId="14" fillId="2" borderId="7" xfId="0" applyFont="1" applyFill="1" applyBorder="1"/>
    <xf numFmtId="3" fontId="14" fillId="2" borderId="6" xfId="0" applyNumberFormat="1" applyFont="1" applyFill="1" applyBorder="1"/>
    <xf numFmtId="0" fontId="0" fillId="2" borderId="6" xfId="0" applyFill="1" applyBorder="1"/>
    <xf numFmtId="0" fontId="0" fillId="2" borderId="5" xfId="0" applyFill="1" applyBorder="1"/>
    <xf numFmtId="0" fontId="14" fillId="3" borderId="0" xfId="0" applyFont="1" applyFill="1" applyBorder="1"/>
    <xf numFmtId="0" fontId="14" fillId="3" borderId="0" xfId="0" applyFont="1" applyFill="1" applyBorder="1" applyAlignment="1">
      <alignment horizontal="right"/>
    </xf>
    <xf numFmtId="0" fontId="37" fillId="3" borderId="0" xfId="0" applyFont="1" applyFill="1"/>
    <xf numFmtId="9" fontId="14" fillId="6" borderId="0" xfId="0" applyNumberFormat="1" applyFont="1" applyFill="1"/>
    <xf numFmtId="0" fontId="39" fillId="3" borderId="0" xfId="0" applyFont="1" applyFill="1"/>
    <xf numFmtId="0" fontId="0" fillId="3" borderId="0" xfId="0" applyFill="1" applyAlignment="1">
      <alignment horizontal="left" indent="1"/>
    </xf>
    <xf numFmtId="3" fontId="14" fillId="7" borderId="55" xfId="0" applyNumberFormat="1" applyFont="1" applyFill="1" applyBorder="1" applyAlignment="1">
      <alignment horizontal="right" indent="1"/>
    </xf>
    <xf numFmtId="0" fontId="17" fillId="3" borderId="0" xfId="0" applyFont="1" applyFill="1" applyAlignment="1">
      <alignment horizontal="right"/>
    </xf>
    <xf numFmtId="164" fontId="55" fillId="3" borderId="0" xfId="0" applyNumberFormat="1" applyFont="1" applyFill="1" applyAlignment="1">
      <alignment horizontal="center"/>
    </xf>
    <xf numFmtId="0" fontId="12" fillId="3" borderId="0" xfId="0" applyFont="1" applyFill="1"/>
    <xf numFmtId="0" fontId="54" fillId="3" borderId="0" xfId="0" applyFont="1" applyFill="1"/>
    <xf numFmtId="9" fontId="56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right" indent="1"/>
    </xf>
    <xf numFmtId="0" fontId="47" fillId="3" borderId="0" xfId="0" applyFont="1" applyFill="1"/>
    <xf numFmtId="164" fontId="15" fillId="3" borderId="0" xfId="0" applyNumberFormat="1" applyFont="1" applyFill="1"/>
    <xf numFmtId="0" fontId="29" fillId="3" borderId="0" xfId="0" applyFont="1" applyFill="1"/>
    <xf numFmtId="0" fontId="15" fillId="3" borderId="0" xfId="0" applyFont="1" applyFill="1"/>
    <xf numFmtId="3" fontId="14" fillId="3" borderId="0" xfId="2" applyNumberFormat="1" applyFont="1" applyFill="1" applyAlignment="1">
      <alignment horizontal="right" indent="1"/>
    </xf>
    <xf numFmtId="3" fontId="47" fillId="3" borderId="0" xfId="0" applyNumberFormat="1" applyFont="1" applyFill="1"/>
    <xf numFmtId="0" fontId="17" fillId="3" borderId="0" xfId="0" applyFont="1" applyFill="1"/>
    <xf numFmtId="3" fontId="14" fillId="3" borderId="0" xfId="0" applyNumberFormat="1" applyFont="1" applyFill="1" applyAlignment="1">
      <alignment horizontal="right" indent="1"/>
    </xf>
    <xf numFmtId="3" fontId="60" fillId="0" borderId="0" xfId="0" applyNumberFormat="1" applyFont="1" applyAlignment="1">
      <alignment horizontal="center"/>
    </xf>
    <xf numFmtId="3" fontId="33" fillId="3" borderId="0" xfId="0" applyNumberFormat="1" applyFont="1" applyFill="1" applyAlignment="1">
      <alignment horizontal="right" vertical="center"/>
    </xf>
    <xf numFmtId="0" fontId="0" fillId="13" borderId="0" xfId="0" applyFont="1" applyFill="1"/>
    <xf numFmtId="0" fontId="4" fillId="3" borderId="3" xfId="3" applyFont="1" applyFill="1" applyBorder="1" applyAlignment="1" applyProtection="1">
      <alignment horizontal="center"/>
    </xf>
    <xf numFmtId="3" fontId="8" fillId="3" borderId="23" xfId="1" applyNumberFormat="1" applyFont="1" applyFill="1" applyBorder="1" applyAlignment="1">
      <alignment horizontal="right" vertical="center"/>
    </xf>
    <xf numFmtId="3" fontId="8" fillId="3" borderId="26" xfId="1" applyNumberFormat="1" applyFont="1" applyFill="1" applyBorder="1" applyAlignment="1">
      <alignment horizontal="right" vertical="center"/>
    </xf>
    <xf numFmtId="3" fontId="8" fillId="3" borderId="22" xfId="1" applyNumberFormat="1" applyFont="1" applyFill="1" applyBorder="1" applyAlignment="1">
      <alignment horizontal="right" vertical="center"/>
    </xf>
    <xf numFmtId="3" fontId="8" fillId="3" borderId="25" xfId="1" applyNumberFormat="1" applyFont="1" applyFill="1" applyBorder="1" applyAlignment="1">
      <alignment horizontal="right" vertical="center"/>
    </xf>
    <xf numFmtId="0" fontId="62" fillId="0" borderId="0" xfId="0" applyFont="1"/>
    <xf numFmtId="9" fontId="0" fillId="3" borderId="0" xfId="0" applyNumberFormat="1" applyFill="1"/>
    <xf numFmtId="9" fontId="0" fillId="2" borderId="0" xfId="0" applyNumberFormat="1" applyFill="1" applyBorder="1" applyAlignment="1">
      <alignment horizontal="right"/>
    </xf>
    <xf numFmtId="3" fontId="18" fillId="4" borderId="17" xfId="0" applyNumberFormat="1" applyFont="1" applyFill="1" applyBorder="1" applyAlignment="1">
      <alignment horizontal="center" vertical="center"/>
    </xf>
    <xf numFmtId="3" fontId="18" fillId="7" borderId="17" xfId="0" applyNumberFormat="1" applyFont="1" applyFill="1" applyBorder="1" applyAlignment="1">
      <alignment horizontal="center" vertical="center"/>
    </xf>
    <xf numFmtId="0" fontId="46" fillId="3" borderId="0" xfId="1" applyFont="1" applyFill="1" applyAlignment="1">
      <alignment vertical="center"/>
    </xf>
    <xf numFmtId="3" fontId="0" fillId="0" borderId="0" xfId="0" applyNumberFormat="1" applyFont="1"/>
    <xf numFmtId="9" fontId="0" fillId="3" borderId="0" xfId="0" applyNumberFormat="1" applyFill="1" applyBorder="1" applyAlignment="1">
      <alignment horizontal="right"/>
    </xf>
    <xf numFmtId="9" fontId="18" fillId="12" borderId="1" xfId="2" applyFont="1" applyFill="1" applyBorder="1"/>
    <xf numFmtId="164" fontId="64" fillId="0" borderId="0" xfId="2" applyNumberFormat="1" applyFont="1" applyAlignment="1">
      <alignment horizontal="right"/>
    </xf>
    <xf numFmtId="9" fontId="4" fillId="3" borderId="1" xfId="2" applyFont="1" applyFill="1" applyBorder="1" applyProtection="1"/>
    <xf numFmtId="3" fontId="47" fillId="0" borderId="0" xfId="0" applyNumberFormat="1" applyFont="1"/>
    <xf numFmtId="9" fontId="14" fillId="7" borderId="55" xfId="2" applyNumberFormat="1" applyFont="1" applyFill="1" applyBorder="1" applyAlignment="1">
      <alignment horizontal="right" indent="1"/>
    </xf>
    <xf numFmtId="3" fontId="17" fillId="3" borderId="18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8" fillId="3" borderId="19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20" xfId="1" applyNumberFormat="1" applyFont="1" applyFill="1" applyBorder="1" applyAlignment="1">
      <alignment horizontal="right" vertical="center"/>
    </xf>
    <xf numFmtId="3" fontId="17" fillId="3" borderId="23" xfId="1" applyNumberFormat="1" applyFont="1" applyFill="1" applyBorder="1" applyAlignment="1">
      <alignment horizontal="right" vertical="center"/>
    </xf>
    <xf numFmtId="3" fontId="17" fillId="3" borderId="26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12" borderId="20" xfId="1" applyNumberFormat="1" applyFont="1" applyFill="1" applyBorder="1" applyAlignment="1">
      <alignment horizontal="right" vertical="center"/>
    </xf>
    <xf numFmtId="3" fontId="17" fillId="12" borderId="23" xfId="1" applyNumberFormat="1" applyFont="1" applyFill="1" applyBorder="1" applyAlignment="1">
      <alignment horizontal="right" vertical="center"/>
    </xf>
    <xf numFmtId="3" fontId="17" fillId="12" borderId="26" xfId="1" applyNumberFormat="1" applyFont="1" applyFill="1" applyBorder="1" applyAlignment="1">
      <alignment horizontal="right" vertical="center"/>
    </xf>
    <xf numFmtId="3" fontId="68" fillId="3" borderId="0" xfId="1" applyNumberFormat="1" applyFont="1" applyFill="1" applyAlignment="1">
      <alignment vertical="center"/>
    </xf>
    <xf numFmtId="3" fontId="17" fillId="4" borderId="17" xfId="0" applyNumberFormat="1" applyFont="1" applyFill="1" applyBorder="1" applyAlignment="1">
      <alignment vertical="center"/>
    </xf>
    <xf numFmtId="3" fontId="8" fillId="3" borderId="20" xfId="1" applyNumberFormat="1" applyFont="1" applyFill="1" applyBorder="1" applyAlignment="1">
      <alignment horizontal="right" vertical="center"/>
    </xf>
    <xf numFmtId="165" fontId="17" fillId="3" borderId="0" xfId="0" applyNumberFormat="1" applyFont="1" applyFill="1" applyAlignment="1">
      <alignment vertical="center"/>
    </xf>
    <xf numFmtId="0" fontId="45" fillId="3" borderId="0" xfId="0" applyFont="1" applyFill="1" applyAlignment="1">
      <alignment vertical="center"/>
    </xf>
    <xf numFmtId="0" fontId="17" fillId="3" borderId="0" xfId="0" applyFont="1" applyFill="1" applyAlignment="1">
      <alignment horizontal="right" vertical="center"/>
    </xf>
    <xf numFmtId="3" fontId="31" fillId="3" borderId="17" xfId="0" applyNumberFormat="1" applyFont="1" applyFill="1" applyBorder="1" applyAlignment="1">
      <alignment vertical="center"/>
    </xf>
    <xf numFmtId="3" fontId="0" fillId="3" borderId="0" xfId="0" applyNumberFormat="1" applyFill="1"/>
    <xf numFmtId="10" fontId="0" fillId="3" borderId="0" xfId="2" applyNumberFormat="1" applyFont="1" applyFill="1"/>
    <xf numFmtId="0" fontId="44" fillId="3" borderId="0" xfId="0" applyFont="1" applyFill="1" applyAlignment="1">
      <alignment vertical="center"/>
    </xf>
    <xf numFmtId="0" fontId="69" fillId="3" borderId="0" xfId="0" applyFont="1" applyFill="1" applyAlignment="1">
      <alignment vertical="center"/>
    </xf>
    <xf numFmtId="0" fontId="43" fillId="3" borderId="0" xfId="0" applyFont="1" applyFill="1" applyAlignment="1">
      <alignment horizontal="left" vertical="center"/>
    </xf>
    <xf numFmtId="165" fontId="44" fillId="3" borderId="0" xfId="0" applyNumberFormat="1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38" fillId="3" borderId="0" xfId="0" applyFont="1" applyFill="1" applyAlignment="1">
      <alignment horizontal="center" vertical="center"/>
    </xf>
    <xf numFmtId="0" fontId="38" fillId="3" borderId="79" xfId="0" applyFont="1" applyFill="1" applyBorder="1" applyAlignment="1">
      <alignment horizontal="center" vertical="center"/>
    </xf>
    <xf numFmtId="0" fontId="38" fillId="3" borderId="79" xfId="0" applyFont="1" applyFill="1" applyBorder="1" applyAlignment="1">
      <alignment vertical="center"/>
    </xf>
    <xf numFmtId="0" fontId="44" fillId="3" borderId="79" xfId="0" applyFont="1" applyFill="1" applyBorder="1" applyAlignment="1">
      <alignment vertical="center"/>
    </xf>
    <xf numFmtId="0" fontId="38" fillId="3" borderId="80" xfId="0" applyFont="1" applyFill="1" applyBorder="1" applyAlignment="1">
      <alignment horizontal="center" vertical="center"/>
    </xf>
    <xf numFmtId="0" fontId="38" fillId="3" borderId="80" xfId="0" applyFont="1" applyFill="1" applyBorder="1" applyAlignment="1">
      <alignment vertical="center"/>
    </xf>
    <xf numFmtId="0" fontId="44" fillId="3" borderId="80" xfId="0" applyFont="1" applyFill="1" applyBorder="1" applyAlignment="1">
      <alignment vertical="center"/>
    </xf>
    <xf numFmtId="0" fontId="38" fillId="3" borderId="81" xfId="0" applyFont="1" applyFill="1" applyBorder="1" applyAlignment="1">
      <alignment horizontal="center" vertical="center"/>
    </xf>
    <xf numFmtId="0" fontId="38" fillId="3" borderId="81" xfId="0" applyFont="1" applyFill="1" applyBorder="1" applyAlignment="1">
      <alignment vertical="center"/>
    </xf>
    <xf numFmtId="0" fontId="44" fillId="3" borderId="81" xfId="0" applyFont="1" applyFill="1" applyBorder="1" applyAlignment="1">
      <alignment vertical="center"/>
    </xf>
    <xf numFmtId="166" fontId="44" fillId="3" borderId="79" xfId="0" applyNumberFormat="1" applyFont="1" applyFill="1" applyBorder="1" applyAlignment="1">
      <alignment horizontal="right" vertical="center"/>
    </xf>
    <xf numFmtId="166" fontId="38" fillId="3" borderId="79" xfId="0" applyNumberFormat="1" applyFont="1" applyFill="1" applyBorder="1" applyAlignment="1">
      <alignment horizontal="right" vertical="center"/>
    </xf>
    <xf numFmtId="166" fontId="44" fillId="3" borderId="80" xfId="0" applyNumberFormat="1" applyFont="1" applyFill="1" applyBorder="1" applyAlignment="1">
      <alignment horizontal="right" vertical="center"/>
    </xf>
    <xf numFmtId="166" fontId="38" fillId="3" borderId="80" xfId="0" applyNumberFormat="1" applyFont="1" applyFill="1" applyBorder="1" applyAlignment="1">
      <alignment horizontal="right" vertical="center"/>
    </xf>
    <xf numFmtId="166" fontId="44" fillId="3" borderId="81" xfId="0" applyNumberFormat="1" applyFont="1" applyFill="1" applyBorder="1" applyAlignment="1">
      <alignment horizontal="right" vertical="center"/>
    </xf>
    <xf numFmtId="166" fontId="38" fillId="3" borderId="81" xfId="0" applyNumberFormat="1" applyFont="1" applyFill="1" applyBorder="1" applyAlignment="1">
      <alignment horizontal="right" vertical="center"/>
    </xf>
    <xf numFmtId="4" fontId="38" fillId="3" borderId="79" xfId="0" applyNumberFormat="1" applyFont="1" applyFill="1" applyBorder="1" applyAlignment="1">
      <alignment horizontal="right" vertical="center"/>
    </xf>
    <xf numFmtId="4" fontId="38" fillId="3" borderId="80" xfId="0" applyNumberFormat="1" applyFont="1" applyFill="1" applyBorder="1" applyAlignment="1">
      <alignment horizontal="right" vertical="center"/>
    </xf>
    <xf numFmtId="4" fontId="38" fillId="3" borderId="81" xfId="0" applyNumberFormat="1" applyFont="1" applyFill="1" applyBorder="1" applyAlignment="1">
      <alignment horizontal="right" vertical="center"/>
    </xf>
    <xf numFmtId="167" fontId="38" fillId="3" borderId="80" xfId="0" applyNumberFormat="1" applyFont="1" applyFill="1" applyBorder="1" applyAlignment="1">
      <alignment horizontal="right" vertical="center"/>
    </xf>
    <xf numFmtId="0" fontId="37" fillId="3" borderId="0" xfId="0" applyFont="1" applyFill="1" applyAlignment="1">
      <alignment vertical="center"/>
    </xf>
    <xf numFmtId="0" fontId="18" fillId="6" borderId="0" xfId="0" applyFont="1" applyFill="1" applyAlignment="1">
      <alignment horizontal="left" vertical="center" indent="1"/>
    </xf>
    <xf numFmtId="0" fontId="17" fillId="6" borderId="0" xfId="0" applyFont="1" applyFill="1" applyAlignment="1">
      <alignment vertical="center"/>
    </xf>
    <xf numFmtId="0" fontId="17" fillId="3" borderId="17" xfId="0" applyFont="1" applyFill="1" applyBorder="1" applyAlignment="1">
      <alignment horizontal="center" vertical="center"/>
    </xf>
    <xf numFmtId="0" fontId="17" fillId="3" borderId="7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vertical="center"/>
    </xf>
    <xf numFmtId="0" fontId="17" fillId="3" borderId="0" xfId="0" applyFont="1" applyFill="1" applyAlignment="1">
      <alignment horizontal="left" vertical="center" indent="1"/>
    </xf>
    <xf numFmtId="165" fontId="17" fillId="6" borderId="0" xfId="0" applyNumberFormat="1" applyFont="1" applyFill="1" applyAlignment="1">
      <alignment vertical="center"/>
    </xf>
    <xf numFmtId="3" fontId="17" fillId="6" borderId="0" xfId="0" applyNumberFormat="1" applyFont="1" applyFill="1" applyAlignment="1">
      <alignment vertical="center"/>
    </xf>
    <xf numFmtId="9" fontId="17" fillId="3" borderId="82" xfId="2" applyFont="1" applyFill="1" applyBorder="1" applyAlignment="1">
      <alignment vertical="center"/>
    </xf>
    <xf numFmtId="9" fontId="17" fillId="3" borderId="74" xfId="2" applyFont="1" applyFill="1" applyBorder="1" applyAlignment="1">
      <alignment vertical="center"/>
    </xf>
    <xf numFmtId="165" fontId="17" fillId="6" borderId="0" xfId="0" applyNumberFormat="1" applyFont="1" applyFill="1" applyAlignment="1">
      <alignment horizontal="right" vertical="center"/>
    </xf>
    <xf numFmtId="9" fontId="17" fillId="3" borderId="75" xfId="2" applyFont="1" applyFill="1" applyBorder="1" applyAlignment="1">
      <alignment vertical="center"/>
    </xf>
    <xf numFmtId="0" fontId="17" fillId="3" borderId="83" xfId="0" applyFont="1" applyFill="1" applyBorder="1" applyAlignment="1">
      <alignment vertical="center"/>
    </xf>
    <xf numFmtId="3" fontId="14" fillId="3" borderId="0" xfId="0" applyNumberFormat="1" applyFont="1" applyFill="1" applyAlignment="1">
      <alignment vertical="center"/>
    </xf>
    <xf numFmtId="9" fontId="14" fillId="3" borderId="74" xfId="2" applyFont="1" applyFill="1" applyBorder="1" applyAlignment="1">
      <alignment vertical="center"/>
    </xf>
    <xf numFmtId="0" fontId="10" fillId="3" borderId="0" xfId="0" applyFont="1" applyFill="1" applyAlignment="1">
      <alignment horizontal="left" vertical="center"/>
    </xf>
    <xf numFmtId="166" fontId="14" fillId="3" borderId="0" xfId="0" applyNumberFormat="1" applyFont="1" applyFill="1" applyAlignment="1">
      <alignment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17" fillId="7" borderId="17" xfId="0" applyNumberFormat="1" applyFont="1" applyFill="1" applyBorder="1" applyAlignment="1">
      <alignment vertical="center"/>
    </xf>
    <xf numFmtId="0" fontId="17" fillId="6" borderId="17" xfId="0" applyFont="1" applyFill="1" applyBorder="1" applyAlignment="1">
      <alignment horizontal="center" vertical="center"/>
    </xf>
    <xf numFmtId="3" fontId="30" fillId="3" borderId="20" xfId="1" applyNumberFormat="1" applyFont="1" applyFill="1" applyBorder="1" applyAlignment="1">
      <alignment horizontal="right" vertical="center"/>
    </xf>
    <xf numFmtId="3" fontId="30" fillId="3" borderId="23" xfId="1" applyNumberFormat="1" applyFont="1" applyFill="1" applyBorder="1" applyAlignment="1">
      <alignment horizontal="right" vertical="center"/>
    </xf>
    <xf numFmtId="3" fontId="30" fillId="3" borderId="26" xfId="1" applyNumberFormat="1" applyFont="1" applyFill="1" applyBorder="1" applyAlignment="1">
      <alignment horizontal="right" vertical="center"/>
    </xf>
    <xf numFmtId="0" fontId="13" fillId="3" borderId="17" xfId="1" applyFont="1" applyFill="1" applyBorder="1" applyAlignment="1">
      <alignment vertical="center"/>
    </xf>
    <xf numFmtId="0" fontId="61" fillId="13" borderId="0" xfId="0" applyFont="1" applyFill="1"/>
    <xf numFmtId="3" fontId="43" fillId="3" borderId="1" xfId="0" applyNumberFormat="1" applyFont="1" applyFill="1" applyBorder="1" applyAlignment="1">
      <alignment vertical="center"/>
    </xf>
    <xf numFmtId="0" fontId="71" fillId="11" borderId="0" xfId="3" applyFont="1" applyFill="1" applyAlignment="1" applyProtection="1"/>
    <xf numFmtId="0" fontId="43" fillId="0" borderId="15" xfId="3" applyFont="1" applyBorder="1" applyProtection="1"/>
    <xf numFmtId="0" fontId="71" fillId="0" borderId="3" xfId="3" applyFont="1" applyBorder="1" applyAlignment="1" applyProtection="1">
      <alignment horizontal="center" vertical="center"/>
    </xf>
    <xf numFmtId="0" fontId="43" fillId="0" borderId="0" xfId="0" applyFont="1" applyAlignment="1">
      <alignment horizontal="left" vertical="center" indent="1"/>
    </xf>
    <xf numFmtId="0" fontId="44" fillId="0" borderId="0" xfId="0" applyFont="1" applyAlignment="1">
      <alignment horizontal="left" vertical="center" indent="1"/>
    </xf>
    <xf numFmtId="3" fontId="12" fillId="3" borderId="1" xfId="3" applyNumberFormat="1" applyFont="1" applyFill="1" applyBorder="1" applyProtection="1">
      <protection locked="0"/>
    </xf>
    <xf numFmtId="0" fontId="17" fillId="7" borderId="0" xfId="0" applyFont="1" applyFill="1" applyBorder="1" applyAlignment="1">
      <alignment vertical="center"/>
    </xf>
    <xf numFmtId="0" fontId="17" fillId="3" borderId="17" xfId="0" applyFont="1" applyFill="1" applyBorder="1" applyAlignment="1">
      <alignment horizontal="left" vertical="center" indent="1"/>
    </xf>
    <xf numFmtId="3" fontId="8" fillId="3" borderId="76" xfId="1" applyNumberFormat="1" applyFont="1" applyFill="1" applyBorder="1" applyAlignment="1">
      <alignment horizontal="right" vertical="center"/>
    </xf>
    <xf numFmtId="3" fontId="8" fillId="3" borderId="74" xfId="1" applyNumberFormat="1" applyFont="1" applyFill="1" applyBorder="1" applyAlignment="1">
      <alignment horizontal="right" vertical="center"/>
    </xf>
    <xf numFmtId="3" fontId="8" fillId="3" borderId="75" xfId="1" applyNumberFormat="1" applyFont="1" applyFill="1" applyBorder="1" applyAlignment="1">
      <alignment horizontal="right" vertical="center"/>
    </xf>
    <xf numFmtId="3" fontId="17" fillId="3" borderId="70" xfId="1" applyNumberFormat="1" applyFont="1" applyFill="1" applyBorder="1" applyAlignment="1">
      <alignment horizontal="right" vertical="center"/>
    </xf>
    <xf numFmtId="3" fontId="17" fillId="3" borderId="19" xfId="1" applyNumberFormat="1" applyFont="1" applyFill="1" applyBorder="1" applyAlignment="1">
      <alignment horizontal="right" vertical="center"/>
    </xf>
    <xf numFmtId="3" fontId="17" fillId="3" borderId="72" xfId="1" applyNumberFormat="1" applyFont="1" applyFill="1" applyBorder="1" applyAlignment="1">
      <alignment horizontal="right" vertical="center"/>
    </xf>
    <xf numFmtId="3" fontId="17" fillId="3" borderId="18" xfId="1" applyNumberFormat="1" applyFont="1" applyFill="1" applyBorder="1" applyAlignment="1">
      <alignment horizontal="right" vertical="center"/>
    </xf>
    <xf numFmtId="3" fontId="8" fillId="3" borderId="20" xfId="1" applyNumberFormat="1" applyFont="1" applyFill="1" applyBorder="1" applyAlignment="1">
      <alignment horizontal="right" vertical="center"/>
    </xf>
    <xf numFmtId="3" fontId="17" fillId="0" borderId="77" xfId="1" applyNumberFormat="1" applyFont="1" applyFill="1" applyBorder="1" applyAlignment="1">
      <alignment horizontal="right" vertical="center"/>
    </xf>
    <xf numFmtId="3" fontId="17" fillId="0" borderId="70" xfId="1" applyNumberFormat="1" applyFont="1" applyFill="1" applyBorder="1" applyAlignment="1">
      <alignment horizontal="right" vertical="center"/>
    </xf>
    <xf numFmtId="3" fontId="17" fillId="0" borderId="71" xfId="1" applyNumberFormat="1" applyFont="1" applyFill="1" applyBorder="1" applyAlignment="1">
      <alignment horizontal="right" vertical="center"/>
    </xf>
    <xf numFmtId="3" fontId="17" fillId="0" borderId="78" xfId="1" applyNumberFormat="1" applyFont="1" applyFill="1" applyBorder="1" applyAlignment="1">
      <alignment horizontal="right" vertical="center"/>
    </xf>
    <xf numFmtId="3" fontId="17" fillId="0" borderId="72" xfId="1" applyNumberFormat="1" applyFont="1" applyFill="1" applyBorder="1" applyAlignment="1">
      <alignment horizontal="right" vertical="center"/>
    </xf>
    <xf numFmtId="3" fontId="17" fillId="0" borderId="73" xfId="1" applyNumberFormat="1" applyFont="1" applyFill="1" applyBorder="1" applyAlignment="1">
      <alignment horizontal="right" vertical="center"/>
    </xf>
    <xf numFmtId="3" fontId="17" fillId="0" borderId="19" xfId="1" applyNumberFormat="1" applyFont="1" applyFill="1" applyBorder="1" applyAlignment="1">
      <alignment horizontal="right" vertical="center"/>
    </xf>
    <xf numFmtId="3" fontId="17" fillId="0" borderId="18" xfId="1" applyNumberFormat="1" applyFont="1" applyFill="1" applyBorder="1" applyAlignment="1">
      <alignment horizontal="right" vertical="center"/>
    </xf>
    <xf numFmtId="3" fontId="17" fillId="3" borderId="77" xfId="1" applyNumberFormat="1" applyFont="1" applyFill="1" applyBorder="1" applyAlignment="1">
      <alignment horizontal="right" vertical="center"/>
    </xf>
    <xf numFmtId="3" fontId="17" fillId="3" borderId="71" xfId="1" applyNumberFormat="1" applyFont="1" applyFill="1" applyBorder="1" applyAlignment="1">
      <alignment horizontal="right" vertical="center"/>
    </xf>
    <xf numFmtId="3" fontId="17" fillId="3" borderId="78" xfId="1" applyNumberFormat="1" applyFont="1" applyFill="1" applyBorder="1" applyAlignment="1">
      <alignment horizontal="right" vertical="center"/>
    </xf>
    <xf numFmtId="3" fontId="17" fillId="3" borderId="73" xfId="1" applyNumberFormat="1" applyFont="1" applyFill="1" applyBorder="1" applyAlignment="1">
      <alignment horizontal="right" vertical="center"/>
    </xf>
    <xf numFmtId="0" fontId="22" fillId="9" borderId="0" xfId="0" applyFont="1" applyFill="1" applyAlignment="1">
      <alignment horizontal="center" vertical="center"/>
    </xf>
    <xf numFmtId="0" fontId="22" fillId="9" borderId="17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3" fontId="8" fillId="3" borderId="70" xfId="1" applyNumberFormat="1" applyFont="1" applyFill="1" applyBorder="1" applyAlignment="1">
      <alignment horizontal="right" vertical="center"/>
    </xf>
    <xf numFmtId="3" fontId="8" fillId="3" borderId="71" xfId="1" applyNumberFormat="1" applyFont="1" applyFill="1" applyBorder="1" applyAlignment="1">
      <alignment horizontal="right" vertical="center"/>
    </xf>
    <xf numFmtId="3" fontId="17" fillId="7" borderId="17" xfId="0" applyNumberFormat="1" applyFont="1" applyFill="1" applyBorder="1" applyAlignment="1">
      <alignment horizontal="center" vertical="center"/>
    </xf>
    <xf numFmtId="3" fontId="67" fillId="3" borderId="76" xfId="1" applyNumberFormat="1" applyFont="1" applyFill="1" applyBorder="1" applyAlignment="1">
      <alignment horizontal="right" vertical="center"/>
    </xf>
    <xf numFmtId="3" fontId="67" fillId="3" borderId="74" xfId="1" applyNumberFormat="1" applyFont="1" applyFill="1" applyBorder="1" applyAlignment="1">
      <alignment horizontal="right" vertical="center"/>
    </xf>
    <xf numFmtId="3" fontId="67" fillId="3" borderId="75" xfId="1" applyNumberFormat="1" applyFont="1" applyFill="1" applyBorder="1" applyAlignment="1">
      <alignment horizontal="right" vertical="center"/>
    </xf>
    <xf numFmtId="3" fontId="17" fillId="4" borderId="17" xfId="0" applyNumberFormat="1" applyFont="1" applyFill="1" applyBorder="1" applyAlignment="1">
      <alignment horizontal="center" vertical="center"/>
    </xf>
    <xf numFmtId="3" fontId="8" fillId="0" borderId="76" xfId="1" applyNumberFormat="1" applyFont="1" applyFill="1" applyBorder="1" applyAlignment="1">
      <alignment horizontal="right" vertical="center"/>
    </xf>
    <xf numFmtId="3" fontId="8" fillId="0" borderId="74" xfId="1" applyNumberFormat="1" applyFont="1" applyFill="1" applyBorder="1" applyAlignment="1">
      <alignment horizontal="right" vertical="center"/>
    </xf>
    <xf numFmtId="3" fontId="8" fillId="0" borderId="75" xfId="1" applyNumberFormat="1" applyFont="1" applyFill="1" applyBorder="1" applyAlignment="1">
      <alignment horizontal="right" vertical="center"/>
    </xf>
    <xf numFmtId="3" fontId="8" fillId="0" borderId="20" xfId="1" applyNumberFormat="1" applyFont="1" applyFill="1" applyBorder="1" applyAlignment="1">
      <alignment horizontal="right" vertical="center"/>
    </xf>
    <xf numFmtId="3" fontId="17" fillId="7" borderId="17" xfId="0" applyNumberFormat="1" applyFont="1" applyFill="1" applyBorder="1" applyAlignment="1">
      <alignment horizontal="center" vertical="center" wrapText="1"/>
    </xf>
    <xf numFmtId="3" fontId="8" fillId="3" borderId="74" xfId="1" applyNumberFormat="1" applyFont="1" applyFill="1" applyBorder="1" applyAlignment="1">
      <alignment horizontal="center" vertical="center"/>
    </xf>
    <xf numFmtId="3" fontId="8" fillId="3" borderId="75" xfId="1" applyNumberFormat="1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 wrapText="1"/>
    </xf>
    <xf numFmtId="0" fontId="17" fillId="7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8" fillId="8" borderId="0" xfId="0" applyFont="1" applyFill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7" fillId="0" borderId="53" xfId="0" applyFont="1" applyBorder="1" applyAlignment="1">
      <alignment horizontal="left"/>
    </xf>
    <xf numFmtId="0" fontId="17" fillId="0" borderId="54" xfId="0" applyFont="1" applyBorder="1" applyAlignment="1">
      <alignment horizontal="left"/>
    </xf>
    <xf numFmtId="0" fontId="18" fillId="3" borderId="51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8" borderId="59" xfId="0" applyFont="1" applyFill="1" applyBorder="1" applyAlignment="1">
      <alignment horizontal="center" vertical="center" wrapText="1"/>
    </xf>
    <xf numFmtId="0" fontId="18" fillId="8" borderId="62" xfId="0" applyFont="1" applyFill="1" applyBorder="1" applyAlignment="1">
      <alignment horizontal="center" vertical="center" wrapText="1"/>
    </xf>
    <xf numFmtId="0" fontId="18" fillId="0" borderId="53" xfId="0" applyFont="1" applyBorder="1" applyAlignment="1">
      <alignment horizontal="center"/>
    </xf>
    <xf numFmtId="0" fontId="18" fillId="0" borderId="54" xfId="0" applyFont="1" applyBorder="1" applyAlignment="1">
      <alignment horizontal="center"/>
    </xf>
    <xf numFmtId="0" fontId="18" fillId="0" borderId="61" xfId="0" applyFont="1" applyBorder="1" applyAlignment="1">
      <alignment horizontal="center"/>
    </xf>
    <xf numFmtId="0" fontId="18" fillId="3" borderId="50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43" fillId="8" borderId="1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7" fillId="0" borderId="41" xfId="0" applyFont="1" applyBorder="1" applyAlignment="1">
      <alignment horizontal="left"/>
    </xf>
    <xf numFmtId="0" fontId="17" fillId="0" borderId="42" xfId="0" applyFont="1" applyBorder="1" applyAlignment="1">
      <alignment horizontal="left"/>
    </xf>
    <xf numFmtId="0" fontId="18" fillId="0" borderId="46" xfId="0" applyFont="1" applyBorder="1" applyAlignment="1">
      <alignment horizontal="center" wrapText="1"/>
    </xf>
    <xf numFmtId="0" fontId="18" fillId="0" borderId="47" xfId="0" applyFont="1" applyBorder="1" applyAlignment="1">
      <alignment horizontal="center" wrapText="1"/>
    </xf>
    <xf numFmtId="0" fontId="17" fillId="0" borderId="48" xfId="0" applyFont="1" applyBorder="1" applyAlignment="1">
      <alignment wrapText="1"/>
    </xf>
    <xf numFmtId="0" fontId="17" fillId="0" borderId="49" xfId="0" applyFont="1" applyBorder="1" applyAlignment="1">
      <alignment wrapText="1"/>
    </xf>
    <xf numFmtId="0" fontId="18" fillId="8" borderId="34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6" borderId="1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7" fillId="0" borderId="32" xfId="0" applyFont="1" applyBorder="1"/>
    <xf numFmtId="0" fontId="17" fillId="0" borderId="33" xfId="0" applyFont="1" applyBorder="1"/>
    <xf numFmtId="0" fontId="18" fillId="8" borderId="9" xfId="0" applyFont="1" applyFill="1" applyBorder="1" applyAlignment="1">
      <alignment horizontal="center" vertical="center" wrapText="1"/>
    </xf>
    <xf numFmtId="0" fontId="18" fillId="8" borderId="11" xfId="0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46" fillId="11" borderId="0" xfId="3" applyFont="1" applyFill="1" applyProtection="1"/>
    <xf numFmtId="0" fontId="18" fillId="0" borderId="0" xfId="0" applyFont="1" applyAlignment="1">
      <alignment horizontal="center" wrapText="1"/>
    </xf>
    <xf numFmtId="0" fontId="46" fillId="11" borderId="60" xfId="3" applyFont="1" applyFill="1" applyBorder="1" applyProtection="1">
      <protection locked="0"/>
    </xf>
    <xf numFmtId="0" fontId="46" fillId="11" borderId="48" xfId="3" applyFont="1" applyFill="1" applyBorder="1" applyProtection="1">
      <protection locked="0"/>
    </xf>
    <xf numFmtId="0" fontId="46" fillId="11" borderId="49" xfId="3" applyFont="1" applyFill="1" applyBorder="1" applyProtection="1">
      <protection locked="0"/>
    </xf>
    <xf numFmtId="0" fontId="46" fillId="11" borderId="0" xfId="3" applyFont="1" applyFill="1" applyProtection="1">
      <protection locked="0"/>
    </xf>
    <xf numFmtId="0" fontId="53" fillId="12" borderId="5" xfId="0" applyFont="1" applyFill="1" applyBorder="1" applyAlignment="1">
      <alignment horizontal="center" vertical="center"/>
    </xf>
    <xf numFmtId="0" fontId="53" fillId="12" borderId="6" xfId="0" applyFont="1" applyFill="1" applyBorder="1" applyAlignment="1">
      <alignment horizontal="center" vertical="center"/>
    </xf>
    <xf numFmtId="0" fontId="53" fillId="12" borderId="7" xfId="0" applyFont="1" applyFill="1" applyBorder="1" applyAlignment="1">
      <alignment horizontal="center" vertical="center"/>
    </xf>
    <xf numFmtId="0" fontId="35" fillId="3" borderId="5" xfId="0" applyFont="1" applyFill="1" applyBorder="1" applyAlignment="1">
      <alignment horizontal="center"/>
    </xf>
    <xf numFmtId="0" fontId="35" fillId="3" borderId="6" xfId="0" applyFont="1" applyFill="1" applyBorder="1" applyAlignment="1">
      <alignment horizontal="center"/>
    </xf>
    <xf numFmtId="0" fontId="35" fillId="3" borderId="7" xfId="0" applyFont="1" applyFill="1" applyBorder="1" applyAlignment="1">
      <alignment horizontal="center"/>
    </xf>
    <xf numFmtId="0" fontId="58" fillId="12" borderId="5" xfId="0" applyFont="1" applyFill="1" applyBorder="1" applyAlignment="1">
      <alignment horizontal="center"/>
    </xf>
    <xf numFmtId="0" fontId="58" fillId="12" borderId="6" xfId="0" applyFont="1" applyFill="1" applyBorder="1" applyAlignment="1">
      <alignment horizontal="center"/>
    </xf>
    <xf numFmtId="0" fontId="58" fillId="12" borderId="7" xfId="0" applyFont="1" applyFill="1" applyBorder="1" applyAlignment="1">
      <alignment horizontal="center"/>
    </xf>
    <xf numFmtId="9" fontId="57" fillId="3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horizontal="left" vertical="top" wrapText="1"/>
    </xf>
  </cellXfs>
  <cellStyles count="9">
    <cellStyle name="Excel Built-in Normal" xfId="1"/>
    <cellStyle name="Normální" xfId="0" builtinId="0"/>
    <cellStyle name="normální 2" xfId="4"/>
    <cellStyle name="normální 2 2" xfId="3"/>
    <cellStyle name="Normální 3" xfId="6"/>
    <cellStyle name="Normální 4" xfId="7"/>
    <cellStyle name="Normální 5" xfId="8"/>
    <cellStyle name="procent 2" xfId="5"/>
    <cellStyle name="Procenta" xfId="2" builtinId="5"/>
  </cellStyles>
  <dxfs count="4"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</dxfs>
  <tableStyles count="0" defaultTableStyle="TableStyleMedium2" defaultPivotStyle="PivotStyleLight16"/>
  <colors>
    <mruColors>
      <color rgb="FFFDCFCB"/>
      <color rgb="FFFABFBE"/>
      <color rgb="FFF9B8AD"/>
      <color rgb="FFF7A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4"/>
  <sheetViews>
    <sheetView workbookViewId="0">
      <selection activeCell="K28" sqref="K28"/>
    </sheetView>
  </sheetViews>
  <sheetFormatPr defaultRowHeight="12.75" x14ac:dyDescent="0.25"/>
  <cols>
    <col min="1" max="1" width="9.140625" style="3"/>
    <col min="2" max="2" width="5.5703125" style="3" customWidth="1"/>
    <col min="3" max="7" width="9.140625" style="3"/>
    <col min="8" max="8" width="2.5703125" style="3" customWidth="1"/>
    <col min="9" max="16384" width="9.140625" style="3"/>
  </cols>
  <sheetData>
    <row r="2" spans="2:14" ht="15.75" x14ac:dyDescent="0.25">
      <c r="B2" s="2" t="s">
        <v>208</v>
      </c>
    </row>
    <row r="3" spans="2:14" x14ac:dyDescent="0.25">
      <c r="B3" s="408" t="s">
        <v>218</v>
      </c>
      <c r="G3" s="392"/>
      <c r="I3" s="408" t="s">
        <v>219</v>
      </c>
    </row>
    <row r="4" spans="2:14" x14ac:dyDescent="0.25">
      <c r="B4" s="16"/>
      <c r="C4" s="3" t="s">
        <v>209</v>
      </c>
      <c r="D4" s="393" t="s">
        <v>217</v>
      </c>
      <c r="E4" s="394"/>
    </row>
    <row r="5" spans="2:14" x14ac:dyDescent="0.25">
      <c r="B5" s="16"/>
      <c r="C5" s="3" t="s">
        <v>210</v>
      </c>
      <c r="D5" s="394">
        <v>19</v>
      </c>
      <c r="E5" s="394" t="s">
        <v>211</v>
      </c>
    </row>
    <row r="7" spans="2:14" x14ac:dyDescent="0.25">
      <c r="B7" s="427" t="s">
        <v>212</v>
      </c>
      <c r="C7" s="427"/>
      <c r="D7" s="395" t="s">
        <v>213</v>
      </c>
      <c r="E7" s="395" t="s">
        <v>214</v>
      </c>
      <c r="F7" s="395" t="s">
        <v>215</v>
      </c>
      <c r="G7" s="396" t="s">
        <v>216</v>
      </c>
      <c r="I7" s="427" t="s">
        <v>212</v>
      </c>
      <c r="J7" s="427"/>
      <c r="K7" s="395" t="s">
        <v>213</v>
      </c>
      <c r="L7" s="395" t="s">
        <v>214</v>
      </c>
      <c r="M7" s="395" t="s">
        <v>215</v>
      </c>
      <c r="N7" s="396" t="s">
        <v>216</v>
      </c>
    </row>
    <row r="8" spans="2:14" ht="3.75" customHeight="1" x14ac:dyDescent="0.25">
      <c r="B8" s="397"/>
      <c r="C8" s="397"/>
      <c r="D8" s="397"/>
      <c r="E8" s="397"/>
      <c r="F8" s="397"/>
      <c r="G8" s="397"/>
      <c r="I8" s="397"/>
      <c r="J8" s="397"/>
      <c r="K8" s="397"/>
      <c r="L8" s="397"/>
      <c r="M8" s="397"/>
      <c r="N8" s="397"/>
    </row>
    <row r="9" spans="2:14" x14ac:dyDescent="0.25">
      <c r="B9" s="398">
        <v>1</v>
      </c>
      <c r="C9" s="3" t="s">
        <v>19</v>
      </c>
      <c r="D9" s="399">
        <v>-1.3</v>
      </c>
      <c r="E9" s="400">
        <v>31</v>
      </c>
      <c r="F9" s="20">
        <f>IF(E9=0,0,E9*($D$5-D9))</f>
        <v>629.30000000000007</v>
      </c>
      <c r="G9" s="401">
        <f>IF(F9=0,0,F9/$F$22)</f>
        <v>0.17806513680993746</v>
      </c>
      <c r="I9" s="398">
        <v>1</v>
      </c>
      <c r="J9" s="3" t="s">
        <v>19</v>
      </c>
      <c r="K9" s="399">
        <v>-1.3</v>
      </c>
      <c r="L9" s="400">
        <v>31</v>
      </c>
      <c r="M9" s="20">
        <f>IF(L9=0,0,L9*($D$5-K9))</f>
        <v>629.30000000000007</v>
      </c>
      <c r="N9" s="401">
        <f>IF(M9=0,0,M9/$M$22)</f>
        <v>0.19105012295455234</v>
      </c>
    </row>
    <row r="10" spans="2:14" x14ac:dyDescent="0.25">
      <c r="B10" s="398">
        <v>2</v>
      </c>
      <c r="C10" s="3" t="s">
        <v>20</v>
      </c>
      <c r="D10" s="399">
        <v>2.4</v>
      </c>
      <c r="E10" s="400">
        <v>29</v>
      </c>
      <c r="F10" s="20">
        <f t="shared" ref="F10:F20" si="0">IF(E10=0,0,E10*($D$5-D10))</f>
        <v>481.40000000000003</v>
      </c>
      <c r="G10" s="402">
        <f t="shared" ref="G10:G20" si="1">IF(F10=0,0,F10/$F$22)</f>
        <v>0.13621572677626553</v>
      </c>
      <c r="I10" s="398">
        <v>2</v>
      </c>
      <c r="J10" s="3" t="s">
        <v>20</v>
      </c>
      <c r="K10" s="399">
        <v>2.4</v>
      </c>
      <c r="L10" s="400">
        <v>29</v>
      </c>
      <c r="M10" s="20">
        <f t="shared" ref="M10:M20" si="2">IF(L10=0,0,L10*($D$5-K10))</f>
        <v>481.40000000000003</v>
      </c>
      <c r="N10" s="402">
        <f t="shared" ref="N10:N20" si="3">IF(M10=0,0,M10/$M$22)</f>
        <v>0.14614894198366676</v>
      </c>
    </row>
    <row r="11" spans="2:14" x14ac:dyDescent="0.25">
      <c r="B11" s="398">
        <v>3</v>
      </c>
      <c r="C11" s="3" t="s">
        <v>21</v>
      </c>
      <c r="D11" s="399">
        <v>2.9</v>
      </c>
      <c r="E11" s="400">
        <v>31</v>
      </c>
      <c r="F11" s="20">
        <f t="shared" si="0"/>
        <v>499.1</v>
      </c>
      <c r="G11" s="402">
        <f t="shared" si="1"/>
        <v>0.14122407402167453</v>
      </c>
      <c r="I11" s="398">
        <v>3</v>
      </c>
      <c r="J11" s="3" t="s">
        <v>21</v>
      </c>
      <c r="K11" s="399">
        <v>2.9</v>
      </c>
      <c r="L11" s="400">
        <v>31</v>
      </c>
      <c r="M11" s="20">
        <f t="shared" si="2"/>
        <v>499.1</v>
      </c>
      <c r="N11" s="402">
        <f t="shared" si="3"/>
        <v>0.15152251130878289</v>
      </c>
    </row>
    <row r="12" spans="2:14" x14ac:dyDescent="0.25">
      <c r="B12" s="398">
        <v>4</v>
      </c>
      <c r="C12" s="3" t="s">
        <v>22</v>
      </c>
      <c r="D12" s="399">
        <v>7.2</v>
      </c>
      <c r="E12" s="400">
        <v>30</v>
      </c>
      <c r="F12" s="20">
        <f t="shared" si="0"/>
        <v>354</v>
      </c>
      <c r="G12" s="402">
        <f t="shared" si="1"/>
        <v>0.10016694490818029</v>
      </c>
      <c r="I12" s="398">
        <v>4</v>
      </c>
      <c r="J12" s="3" t="s">
        <v>22</v>
      </c>
      <c r="K12" s="399">
        <v>7.2</v>
      </c>
      <c r="L12" s="400">
        <v>30</v>
      </c>
      <c r="M12" s="20">
        <f t="shared" si="2"/>
        <v>354</v>
      </c>
      <c r="N12" s="402">
        <f t="shared" si="3"/>
        <v>0.10747138650232246</v>
      </c>
    </row>
    <row r="13" spans="2:14" x14ac:dyDescent="0.25">
      <c r="B13" s="398">
        <v>5</v>
      </c>
      <c r="C13" s="3" t="s">
        <v>23</v>
      </c>
      <c r="D13" s="399">
        <v>13.2</v>
      </c>
      <c r="E13" s="400">
        <v>21</v>
      </c>
      <c r="F13" s="20">
        <f t="shared" si="0"/>
        <v>121.80000000000001</v>
      </c>
      <c r="G13" s="402">
        <f t="shared" si="1"/>
        <v>3.4464220027729829E-2</v>
      </c>
      <c r="I13" s="398">
        <v>5</v>
      </c>
      <c r="J13" s="3" t="s">
        <v>23</v>
      </c>
      <c r="K13" s="399">
        <v>13.2</v>
      </c>
      <c r="L13" s="400">
        <v>21</v>
      </c>
      <c r="M13" s="20">
        <f t="shared" si="2"/>
        <v>121.80000000000001</v>
      </c>
      <c r="N13" s="402">
        <f t="shared" si="3"/>
        <v>3.6977443152494002E-2</v>
      </c>
    </row>
    <row r="14" spans="2:14" x14ac:dyDescent="0.25">
      <c r="B14" s="398">
        <v>6</v>
      </c>
      <c r="C14" s="3" t="s">
        <v>24</v>
      </c>
      <c r="D14" s="403" t="s">
        <v>33</v>
      </c>
      <c r="E14" s="400">
        <v>0</v>
      </c>
      <c r="F14" s="20">
        <f t="shared" si="0"/>
        <v>0</v>
      </c>
      <c r="G14" s="402">
        <f t="shared" si="1"/>
        <v>0</v>
      </c>
      <c r="I14" s="398">
        <v>6</v>
      </c>
      <c r="J14" s="3" t="s">
        <v>24</v>
      </c>
      <c r="K14" s="403" t="s">
        <v>33</v>
      </c>
      <c r="L14" s="400">
        <v>0</v>
      </c>
      <c r="M14" s="20">
        <f t="shared" si="2"/>
        <v>0</v>
      </c>
      <c r="N14" s="402">
        <f t="shared" si="3"/>
        <v>0</v>
      </c>
    </row>
    <row r="15" spans="2:14" x14ac:dyDescent="0.25">
      <c r="B15" s="398">
        <v>7</v>
      </c>
      <c r="C15" s="3" t="s">
        <v>25</v>
      </c>
      <c r="D15" s="403" t="s">
        <v>33</v>
      </c>
      <c r="E15" s="400">
        <v>0</v>
      </c>
      <c r="F15" s="20">
        <f t="shared" si="0"/>
        <v>0</v>
      </c>
      <c r="G15" s="402">
        <f t="shared" si="1"/>
        <v>0</v>
      </c>
      <c r="I15" s="398">
        <v>7</v>
      </c>
      <c r="J15" s="3" t="s">
        <v>25</v>
      </c>
      <c r="K15" s="403" t="s">
        <v>33</v>
      </c>
      <c r="L15" s="400">
        <v>0</v>
      </c>
      <c r="M15" s="20">
        <f t="shared" si="2"/>
        <v>0</v>
      </c>
      <c r="N15" s="402">
        <f t="shared" si="3"/>
        <v>0</v>
      </c>
    </row>
    <row r="16" spans="2:14" x14ac:dyDescent="0.25">
      <c r="B16" s="398">
        <v>8</v>
      </c>
      <c r="C16" s="3" t="s">
        <v>26</v>
      </c>
      <c r="D16" s="403" t="s">
        <v>33</v>
      </c>
      <c r="E16" s="400">
        <v>0</v>
      </c>
      <c r="F16" s="20">
        <f t="shared" si="0"/>
        <v>0</v>
      </c>
      <c r="G16" s="402">
        <f t="shared" si="1"/>
        <v>0</v>
      </c>
      <c r="I16" s="398">
        <v>8</v>
      </c>
      <c r="J16" s="3" t="s">
        <v>26</v>
      </c>
      <c r="K16" s="403" t="s">
        <v>33</v>
      </c>
      <c r="L16" s="400">
        <v>0</v>
      </c>
      <c r="M16" s="20">
        <f t="shared" si="2"/>
        <v>0</v>
      </c>
      <c r="N16" s="402">
        <f t="shared" si="3"/>
        <v>0</v>
      </c>
    </row>
    <row r="17" spans="2:14" x14ac:dyDescent="0.25">
      <c r="B17" s="398">
        <v>9</v>
      </c>
      <c r="C17" s="3" t="s">
        <v>27</v>
      </c>
      <c r="D17" s="399">
        <v>15.5</v>
      </c>
      <c r="E17" s="400">
        <v>4</v>
      </c>
      <c r="F17" s="20">
        <f t="shared" si="0"/>
        <v>14</v>
      </c>
      <c r="G17" s="402">
        <f t="shared" si="1"/>
        <v>3.9614046008884856E-3</v>
      </c>
      <c r="I17" s="398">
        <v>9</v>
      </c>
      <c r="J17" s="3" t="s">
        <v>27</v>
      </c>
      <c r="K17" s="399">
        <v>12.7</v>
      </c>
      <c r="L17" s="400">
        <v>13</v>
      </c>
      <c r="M17" s="20">
        <f t="shared" si="2"/>
        <v>81.900000000000006</v>
      </c>
      <c r="N17" s="402">
        <f t="shared" si="3"/>
        <v>2.4864142809435621E-2</v>
      </c>
    </row>
    <row r="18" spans="2:14" x14ac:dyDescent="0.25">
      <c r="B18" s="398">
        <v>10</v>
      </c>
      <c r="C18" s="3" t="s">
        <v>28</v>
      </c>
      <c r="D18" s="399">
        <v>7.6</v>
      </c>
      <c r="E18" s="400">
        <v>31</v>
      </c>
      <c r="F18" s="20">
        <f t="shared" si="0"/>
        <v>353.40000000000003</v>
      </c>
      <c r="G18" s="402">
        <f t="shared" si="1"/>
        <v>9.9997170425285081E-2</v>
      </c>
      <c r="I18" s="398">
        <v>10</v>
      </c>
      <c r="J18" s="3" t="s">
        <v>28</v>
      </c>
      <c r="K18" s="399">
        <v>8</v>
      </c>
      <c r="L18" s="400">
        <v>28</v>
      </c>
      <c r="M18" s="20">
        <f t="shared" si="2"/>
        <v>308</v>
      </c>
      <c r="N18" s="402">
        <f t="shared" si="3"/>
        <v>9.3506178086766437E-2</v>
      </c>
    </row>
    <row r="19" spans="2:14" x14ac:dyDescent="0.25">
      <c r="B19" s="398">
        <v>11</v>
      </c>
      <c r="C19" s="3" t="s">
        <v>29</v>
      </c>
      <c r="D19" s="399">
        <v>2.7</v>
      </c>
      <c r="E19" s="400">
        <v>30</v>
      </c>
      <c r="F19" s="20">
        <f t="shared" si="0"/>
        <v>489</v>
      </c>
      <c r="G19" s="402">
        <f t="shared" si="1"/>
        <v>0.13836620355960497</v>
      </c>
      <c r="I19" s="398">
        <v>11</v>
      </c>
      <c r="J19" s="3" t="s">
        <v>29</v>
      </c>
      <c r="K19" s="399">
        <v>6.6</v>
      </c>
      <c r="L19" s="400">
        <v>30</v>
      </c>
      <c r="M19" s="20">
        <f t="shared" si="2"/>
        <v>372</v>
      </c>
      <c r="N19" s="402">
        <f t="shared" si="3"/>
        <v>0.11293603327362699</v>
      </c>
    </row>
    <row r="20" spans="2:14" x14ac:dyDescent="0.25">
      <c r="B20" s="398">
        <v>12</v>
      </c>
      <c r="C20" s="3" t="s">
        <v>30</v>
      </c>
      <c r="D20" s="399">
        <v>-0.1</v>
      </c>
      <c r="E20" s="400">
        <v>31</v>
      </c>
      <c r="F20" s="20">
        <f t="shared" si="0"/>
        <v>592.1</v>
      </c>
      <c r="G20" s="404">
        <f t="shared" si="1"/>
        <v>0.16753911887043377</v>
      </c>
      <c r="I20" s="398">
        <v>12</v>
      </c>
      <c r="J20" s="3" t="s">
        <v>30</v>
      </c>
      <c r="K20" s="399">
        <v>4.5999999999999996</v>
      </c>
      <c r="L20" s="400">
        <v>31</v>
      </c>
      <c r="M20" s="20">
        <f t="shared" si="2"/>
        <v>446.40000000000003</v>
      </c>
      <c r="N20" s="404">
        <f t="shared" si="3"/>
        <v>0.13552323992835238</v>
      </c>
    </row>
    <row r="21" spans="2:14" ht="3.75" customHeight="1" x14ac:dyDescent="0.25">
      <c r="B21" s="397"/>
      <c r="C21" s="397"/>
      <c r="D21" s="397"/>
      <c r="E21" s="397"/>
      <c r="F21" s="397"/>
      <c r="G21" s="405"/>
      <c r="I21" s="397"/>
      <c r="J21" s="397"/>
      <c r="K21" s="397"/>
      <c r="L21" s="397"/>
      <c r="M21" s="397"/>
      <c r="N21" s="405"/>
    </row>
    <row r="22" spans="2:14" ht="15" x14ac:dyDescent="0.25">
      <c r="D22" s="409">
        <f>SUMPRODUCT(D9:D20,E9:E20)/E22</f>
        <v>4.1508403361344532</v>
      </c>
      <c r="E22" s="406">
        <f t="shared" ref="E22:G22" si="4">SUM(E9:E20)</f>
        <v>238</v>
      </c>
      <c r="F22" s="406">
        <f t="shared" si="4"/>
        <v>3534.1000000000004</v>
      </c>
      <c r="G22" s="407">
        <f t="shared" si="4"/>
        <v>1</v>
      </c>
      <c r="K22" s="409">
        <f>SUMPRODUCT(K9:K20,L9:L20)/L22</f>
        <v>5.5004098360655735</v>
      </c>
      <c r="L22" s="406">
        <f t="shared" ref="L22:N22" si="5">SUM(L9:L20)</f>
        <v>244</v>
      </c>
      <c r="M22" s="406">
        <f t="shared" si="5"/>
        <v>3293.9000000000005</v>
      </c>
      <c r="N22" s="407">
        <f t="shared" si="5"/>
        <v>0.99999999999999978</v>
      </c>
    </row>
    <row r="24" spans="2:14" ht="15" x14ac:dyDescent="0.25">
      <c r="B24" s="19"/>
    </row>
  </sheetData>
  <mergeCells count="2">
    <mergeCell ref="B7:C7"/>
    <mergeCell ref="I7:J7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B2:AA60"/>
  <sheetViews>
    <sheetView showGridLines="0" workbookViewId="0">
      <selection activeCell="AC14" sqref="AC14"/>
    </sheetView>
  </sheetViews>
  <sheetFormatPr defaultRowHeight="12.75" outlineLevelCol="1" x14ac:dyDescent="0.2"/>
  <cols>
    <col min="1" max="1" width="1.7109375" style="100" customWidth="1"/>
    <col min="2" max="2" width="9.140625" style="100"/>
    <col min="3" max="3" width="25" style="100" customWidth="1"/>
    <col min="4" max="5" width="11.85546875" style="100" customWidth="1"/>
    <col min="6" max="6" width="11.5703125" style="100" customWidth="1"/>
    <col min="7" max="8" width="11.85546875" style="100" customWidth="1"/>
    <col min="9" max="9" width="11.140625" style="100" customWidth="1"/>
    <col min="10" max="10" width="11.7109375" style="100" customWidth="1"/>
    <col min="11" max="11" width="12.7109375" style="100" customWidth="1"/>
    <col min="12" max="12" width="11.7109375" style="100" customWidth="1"/>
    <col min="13" max="14" width="12" style="100" customWidth="1"/>
    <col min="15" max="15" width="11.140625" style="100" customWidth="1"/>
    <col min="16" max="18" width="11.140625" style="100" hidden="1" customWidth="1" outlineLevel="1"/>
    <col min="19" max="19" width="11.5703125" style="100" hidden="1" customWidth="1" outlineLevel="1"/>
    <col min="20" max="22" width="11.140625" style="100" hidden="1" customWidth="1" outlineLevel="1"/>
    <col min="23" max="23" width="11.5703125" style="100" hidden="1" customWidth="1" outlineLevel="1"/>
    <col min="24" max="24" width="11.140625" style="100" hidden="1" customWidth="1" outlineLevel="1"/>
    <col min="25" max="25" width="12.140625" style="100" hidden="1" customWidth="1" outlineLevel="1"/>
    <col min="26" max="26" width="9.140625" style="100" collapsed="1"/>
    <col min="27" max="16384" width="9.140625" style="100"/>
  </cols>
  <sheetData>
    <row r="2" spans="2:27" ht="13.5" thickBot="1" x14ac:dyDescent="0.25">
      <c r="B2" s="97" t="s">
        <v>40</v>
      </c>
      <c r="C2" s="98"/>
      <c r="D2" s="508" t="s">
        <v>41</v>
      </c>
      <c r="E2" s="509"/>
      <c r="F2" s="513"/>
      <c r="G2" s="513"/>
      <c r="H2" s="513"/>
      <c r="I2" s="513"/>
      <c r="J2" s="513"/>
      <c r="K2" s="513"/>
      <c r="L2" s="513"/>
      <c r="M2" s="513"/>
      <c r="N2" s="513"/>
      <c r="O2" s="513"/>
      <c r="P2" s="513"/>
      <c r="Q2" s="513"/>
      <c r="R2" s="513"/>
      <c r="S2" s="513"/>
      <c r="T2" s="513"/>
      <c r="U2" s="513"/>
      <c r="V2" s="513"/>
      <c r="W2" s="513"/>
      <c r="X2" s="513"/>
      <c r="Y2" s="514"/>
      <c r="Z2" s="99"/>
    </row>
    <row r="3" spans="2:27" x14ac:dyDescent="0.2">
      <c r="B3" s="483" t="s">
        <v>42</v>
      </c>
      <c r="C3" s="485" t="s">
        <v>43</v>
      </c>
      <c r="D3" s="515" t="s">
        <v>44</v>
      </c>
      <c r="E3" s="506" t="s">
        <v>45</v>
      </c>
      <c r="F3" s="101" t="s">
        <v>46</v>
      </c>
      <c r="G3" s="102" t="s">
        <v>47</v>
      </c>
      <c r="H3" s="102" t="s">
        <v>48</v>
      </c>
      <c r="I3" s="102" t="s">
        <v>49</v>
      </c>
      <c r="J3" s="102" t="s">
        <v>50</v>
      </c>
      <c r="K3" s="102" t="s">
        <v>51</v>
      </c>
      <c r="L3" s="102" t="s">
        <v>52</v>
      </c>
      <c r="M3" s="102" t="s">
        <v>53</v>
      </c>
      <c r="N3" s="102" t="s">
        <v>54</v>
      </c>
      <c r="O3" s="102" t="s">
        <v>55</v>
      </c>
      <c r="P3" s="102" t="s">
        <v>56</v>
      </c>
      <c r="Q3" s="102" t="s">
        <v>57</v>
      </c>
      <c r="R3" s="102" t="s">
        <v>58</v>
      </c>
      <c r="S3" s="102" t="s">
        <v>59</v>
      </c>
      <c r="T3" s="102" t="s">
        <v>60</v>
      </c>
      <c r="U3" s="102" t="s">
        <v>61</v>
      </c>
      <c r="V3" s="102" t="s">
        <v>62</v>
      </c>
      <c r="W3" s="102" t="s">
        <v>63</v>
      </c>
      <c r="X3" s="102" t="s">
        <v>64</v>
      </c>
      <c r="Y3" s="103" t="s">
        <v>65</v>
      </c>
      <c r="AA3" s="104" t="s">
        <v>66</v>
      </c>
    </row>
    <row r="4" spans="2:27" ht="15" customHeight="1" x14ac:dyDescent="0.2">
      <c r="B4" s="484"/>
      <c r="C4" s="486"/>
      <c r="D4" s="516"/>
      <c r="E4" s="507"/>
      <c r="F4" s="517"/>
      <c r="G4" s="510"/>
      <c r="H4" s="510"/>
      <c r="I4" s="510"/>
      <c r="J4" s="510"/>
      <c r="K4" s="510"/>
      <c r="L4" s="510"/>
      <c r="M4" s="510"/>
      <c r="N4" s="510"/>
      <c r="O4" s="510"/>
      <c r="P4" s="510"/>
      <c r="Q4" s="510"/>
      <c r="R4" s="510"/>
      <c r="S4" s="510"/>
      <c r="T4" s="510"/>
      <c r="U4" s="510"/>
      <c r="V4" s="510"/>
      <c r="W4" s="510"/>
      <c r="X4" s="510"/>
      <c r="Y4" s="518"/>
    </row>
    <row r="5" spans="2:27" x14ac:dyDescent="0.2">
      <c r="B5" s="484"/>
      <c r="C5" s="486"/>
      <c r="D5" s="516"/>
      <c r="E5" s="507"/>
      <c r="F5" s="517"/>
      <c r="G5" s="510"/>
      <c r="H5" s="510"/>
      <c r="I5" s="510"/>
      <c r="J5" s="510"/>
      <c r="K5" s="510"/>
      <c r="L5" s="510"/>
      <c r="M5" s="510"/>
      <c r="N5" s="510"/>
      <c r="O5" s="510"/>
      <c r="P5" s="510"/>
      <c r="Q5" s="510"/>
      <c r="R5" s="510"/>
      <c r="S5" s="510"/>
      <c r="T5" s="510"/>
      <c r="U5" s="510"/>
      <c r="V5" s="510"/>
      <c r="W5" s="510"/>
      <c r="X5" s="510"/>
      <c r="Y5" s="518"/>
    </row>
    <row r="6" spans="2:27" x14ac:dyDescent="0.2">
      <c r="B6" s="484"/>
      <c r="C6" s="486"/>
      <c r="D6" s="516"/>
      <c r="E6" s="507"/>
      <c r="F6" s="517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0"/>
      <c r="R6" s="510"/>
      <c r="S6" s="510"/>
      <c r="T6" s="510"/>
      <c r="U6" s="510"/>
      <c r="V6" s="510"/>
      <c r="W6" s="510"/>
      <c r="X6" s="510"/>
      <c r="Y6" s="518"/>
    </row>
    <row r="7" spans="2:27" x14ac:dyDescent="0.2">
      <c r="B7" s="484"/>
      <c r="C7" s="486"/>
      <c r="D7" s="516"/>
      <c r="E7" s="507"/>
      <c r="F7" s="517"/>
      <c r="G7" s="510"/>
      <c r="H7" s="510"/>
      <c r="I7" s="510"/>
      <c r="J7" s="510"/>
      <c r="K7" s="510"/>
      <c r="L7" s="510"/>
      <c r="M7" s="510"/>
      <c r="N7" s="510"/>
      <c r="O7" s="510"/>
      <c r="P7" s="510"/>
      <c r="Q7" s="510"/>
      <c r="R7" s="510"/>
      <c r="S7" s="510"/>
      <c r="T7" s="510"/>
      <c r="U7" s="510"/>
      <c r="V7" s="510"/>
      <c r="W7" s="510"/>
      <c r="X7" s="510"/>
      <c r="Y7" s="518"/>
    </row>
    <row r="8" spans="2:27" x14ac:dyDescent="0.2">
      <c r="B8" s="484"/>
      <c r="C8" s="486"/>
      <c r="D8" s="516"/>
      <c r="E8" s="507"/>
      <c r="F8" s="517"/>
      <c r="G8" s="510"/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10"/>
      <c r="S8" s="510"/>
      <c r="T8" s="510"/>
      <c r="U8" s="510"/>
      <c r="V8" s="510"/>
      <c r="W8" s="510"/>
      <c r="X8" s="510"/>
      <c r="Y8" s="518"/>
    </row>
    <row r="9" spans="2:27" x14ac:dyDescent="0.2">
      <c r="B9" s="105">
        <v>1</v>
      </c>
      <c r="C9" s="106" t="str">
        <f>'REFERENČNÍ SPOTŘEBY'!C19</f>
        <v>ZŠ J. Vohradského</v>
      </c>
      <c r="D9" s="107">
        <f>SUM(F9:Y9)</f>
        <v>0</v>
      </c>
      <c r="E9" s="155" t="s">
        <v>67</v>
      </c>
      <c r="F9" s="108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10"/>
    </row>
    <row r="10" spans="2:27" x14ac:dyDescent="0.2">
      <c r="B10" s="105">
        <v>2</v>
      </c>
      <c r="C10" s="106" t="str">
        <f>'REFERENČNÍ SPOTŘEBY'!C33</f>
        <v>Tělocvična ZŠ J. Vohradského</v>
      </c>
      <c r="D10" s="107">
        <f t="shared" ref="D10:D15" si="0">SUM(F10:Y10)</f>
        <v>0</v>
      </c>
      <c r="E10" s="155" t="s">
        <v>67</v>
      </c>
      <c r="F10" s="108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10"/>
    </row>
    <row r="11" spans="2:27" x14ac:dyDescent="0.2">
      <c r="B11" s="105">
        <v>3</v>
      </c>
      <c r="C11" s="106" t="str">
        <f>'REFERENČNÍ SPOTŘEBY'!C47</f>
        <v>Jídelna ZŠ J. Vohradského</v>
      </c>
      <c r="D11" s="107">
        <f t="shared" si="0"/>
        <v>0</v>
      </c>
      <c r="E11" s="155" t="s">
        <v>67</v>
      </c>
      <c r="F11" s="108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10"/>
    </row>
    <row r="12" spans="2:27" x14ac:dyDescent="0.2">
      <c r="B12" s="105">
        <v>4</v>
      </c>
      <c r="C12" s="106" t="str">
        <f>'REFERENČNÍ SPOTŘEBY'!C61</f>
        <v>ZŠ Žižkova</v>
      </c>
      <c r="D12" s="107">
        <f t="shared" si="0"/>
        <v>0</v>
      </c>
      <c r="E12" s="155" t="s">
        <v>67</v>
      </c>
      <c r="F12" s="108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10"/>
    </row>
    <row r="13" spans="2:27" x14ac:dyDescent="0.2">
      <c r="B13" s="105">
        <v>5</v>
      </c>
      <c r="C13" s="106" t="str">
        <f>'REFERENČNÍ SPOTŘEBY'!C75</f>
        <v>MŠ Svojsíkova 352</v>
      </c>
      <c r="D13" s="107">
        <f t="shared" si="0"/>
        <v>0</v>
      </c>
      <c r="E13" s="155" t="s">
        <v>67</v>
      </c>
      <c r="F13" s="108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10"/>
    </row>
    <row r="14" spans="2:27" x14ac:dyDescent="0.2">
      <c r="B14" s="105">
        <v>6</v>
      </c>
      <c r="C14" s="106" t="str">
        <f>'REFERENČNÍ SPOTŘEBY'!C89</f>
        <v>MŠ Svojsíkova 355</v>
      </c>
      <c r="D14" s="107">
        <f t="shared" si="0"/>
        <v>0</v>
      </c>
      <c r="E14" s="155" t="s">
        <v>67</v>
      </c>
      <c r="F14" s="108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10"/>
    </row>
    <row r="15" spans="2:27" ht="13.5" thickBot="1" x14ac:dyDescent="0.25">
      <c r="B15" s="111">
        <v>7</v>
      </c>
      <c r="C15" s="112" t="str">
        <f>'REFERENČNÍ SPOTŘEBY'!C103</f>
        <v>Veřejné osvětlení</v>
      </c>
      <c r="D15" s="113">
        <f t="shared" si="0"/>
        <v>0</v>
      </c>
      <c r="E15" s="156" t="s">
        <v>67</v>
      </c>
      <c r="F15" s="114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6"/>
    </row>
    <row r="16" spans="2:27" ht="13.5" thickBot="1" x14ac:dyDescent="0.25">
      <c r="B16" s="498" t="s">
        <v>68</v>
      </c>
      <c r="C16" s="499"/>
      <c r="D16" s="117">
        <f>SUM(D9:D15)</f>
        <v>0</v>
      </c>
      <c r="E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</row>
    <row r="19" spans="2:27" ht="13.5" thickBot="1" x14ac:dyDescent="0.25">
      <c r="B19" s="119" t="s">
        <v>69</v>
      </c>
      <c r="C19" s="120"/>
      <c r="D19" s="508" t="s">
        <v>70</v>
      </c>
      <c r="E19" s="509"/>
      <c r="F19" s="509"/>
      <c r="G19" s="509"/>
      <c r="H19" s="509"/>
      <c r="I19" s="509"/>
      <c r="J19" s="509"/>
      <c r="K19" s="509"/>
      <c r="L19" s="509"/>
      <c r="M19" s="509"/>
      <c r="N19" s="509"/>
      <c r="O19" s="509"/>
      <c r="P19" s="509"/>
      <c r="Q19" s="509"/>
      <c r="R19" s="509"/>
      <c r="S19" s="509"/>
      <c r="T19" s="509"/>
      <c r="U19" s="509"/>
      <c r="V19" s="509"/>
      <c r="W19" s="509"/>
      <c r="X19" s="509"/>
      <c r="Y19" s="509"/>
      <c r="Z19" s="509"/>
      <c r="AA19" s="99"/>
    </row>
    <row r="20" spans="2:27" ht="15" customHeight="1" x14ac:dyDescent="0.2">
      <c r="B20" s="483" t="s">
        <v>42</v>
      </c>
      <c r="C20" s="485" t="s">
        <v>43</v>
      </c>
      <c r="D20" s="504" t="s">
        <v>71</v>
      </c>
      <c r="E20" s="506" t="s">
        <v>45</v>
      </c>
      <c r="F20" s="101" t="str">
        <f t="shared" ref="F20:Y20" si="1">F3</f>
        <v>Opatření 1</v>
      </c>
      <c r="G20" s="102" t="str">
        <f t="shared" si="1"/>
        <v>Opatření 2</v>
      </c>
      <c r="H20" s="102" t="str">
        <f t="shared" si="1"/>
        <v>Opatření 3</v>
      </c>
      <c r="I20" s="102" t="str">
        <f t="shared" si="1"/>
        <v>Opatření 4</v>
      </c>
      <c r="J20" s="102" t="str">
        <f t="shared" si="1"/>
        <v>Opatření 5</v>
      </c>
      <c r="K20" s="102" t="str">
        <f t="shared" si="1"/>
        <v>Opatření 6</v>
      </c>
      <c r="L20" s="102" t="str">
        <f t="shared" si="1"/>
        <v>Opatření 7</v>
      </c>
      <c r="M20" s="102" t="str">
        <f t="shared" si="1"/>
        <v>Opatření 8</v>
      </c>
      <c r="N20" s="102" t="str">
        <f t="shared" si="1"/>
        <v>Opatření 9</v>
      </c>
      <c r="O20" s="102" t="str">
        <f t="shared" si="1"/>
        <v>Opatření 10</v>
      </c>
      <c r="P20" s="102" t="str">
        <f t="shared" si="1"/>
        <v>Opatření 11</v>
      </c>
      <c r="Q20" s="102" t="str">
        <f t="shared" si="1"/>
        <v>Opatření 12</v>
      </c>
      <c r="R20" s="102" t="str">
        <f t="shared" si="1"/>
        <v>Opatření 13</v>
      </c>
      <c r="S20" s="102" t="str">
        <f t="shared" si="1"/>
        <v>Opatření 14</v>
      </c>
      <c r="T20" s="102" t="str">
        <f t="shared" si="1"/>
        <v>Opatření 15</v>
      </c>
      <c r="U20" s="102" t="str">
        <f t="shared" si="1"/>
        <v>Opatření 16</v>
      </c>
      <c r="V20" s="102" t="str">
        <f t="shared" si="1"/>
        <v>Opatření 17</v>
      </c>
      <c r="W20" s="102" t="str">
        <f t="shared" si="1"/>
        <v>Opatření 18</v>
      </c>
      <c r="X20" s="102" t="str">
        <f t="shared" si="1"/>
        <v>Opatření 19</v>
      </c>
      <c r="Y20" s="102" t="str">
        <f t="shared" si="1"/>
        <v>Opatření 20</v>
      </c>
      <c r="Z20" s="511" t="s">
        <v>72</v>
      </c>
    </row>
    <row r="21" spans="2:27" x14ac:dyDescent="0.2">
      <c r="B21" s="484"/>
      <c r="C21" s="486"/>
      <c r="D21" s="505"/>
      <c r="E21" s="507"/>
      <c r="F21" s="484">
        <f t="shared" ref="F21:Y21" si="2">F4</f>
        <v>0</v>
      </c>
      <c r="G21" s="486">
        <f t="shared" si="2"/>
        <v>0</v>
      </c>
      <c r="H21" s="486">
        <f t="shared" si="2"/>
        <v>0</v>
      </c>
      <c r="I21" s="486">
        <f t="shared" si="2"/>
        <v>0</v>
      </c>
      <c r="J21" s="486">
        <f t="shared" si="2"/>
        <v>0</v>
      </c>
      <c r="K21" s="486">
        <f t="shared" si="2"/>
        <v>0</v>
      </c>
      <c r="L21" s="486">
        <f t="shared" si="2"/>
        <v>0</v>
      </c>
      <c r="M21" s="486">
        <f t="shared" si="2"/>
        <v>0</v>
      </c>
      <c r="N21" s="486">
        <f t="shared" si="2"/>
        <v>0</v>
      </c>
      <c r="O21" s="486">
        <f t="shared" si="2"/>
        <v>0</v>
      </c>
      <c r="P21" s="486">
        <f t="shared" si="2"/>
        <v>0</v>
      </c>
      <c r="Q21" s="486">
        <f t="shared" si="2"/>
        <v>0</v>
      </c>
      <c r="R21" s="486">
        <f t="shared" si="2"/>
        <v>0</v>
      </c>
      <c r="S21" s="486">
        <f t="shared" si="2"/>
        <v>0</v>
      </c>
      <c r="T21" s="486">
        <f t="shared" si="2"/>
        <v>0</v>
      </c>
      <c r="U21" s="486">
        <f t="shared" si="2"/>
        <v>0</v>
      </c>
      <c r="V21" s="486">
        <f t="shared" si="2"/>
        <v>0</v>
      </c>
      <c r="W21" s="486">
        <f t="shared" si="2"/>
        <v>0</v>
      </c>
      <c r="X21" s="486">
        <f t="shared" si="2"/>
        <v>0</v>
      </c>
      <c r="Y21" s="486">
        <f t="shared" si="2"/>
        <v>0</v>
      </c>
      <c r="Z21" s="512"/>
    </row>
    <row r="22" spans="2:27" x14ac:dyDescent="0.2">
      <c r="B22" s="484"/>
      <c r="C22" s="486"/>
      <c r="D22" s="505"/>
      <c r="E22" s="507"/>
      <c r="F22" s="484"/>
      <c r="G22" s="486"/>
      <c r="H22" s="486"/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6"/>
      <c r="T22" s="486"/>
      <c r="U22" s="486"/>
      <c r="V22" s="486"/>
      <c r="W22" s="486"/>
      <c r="X22" s="486"/>
      <c r="Y22" s="486"/>
      <c r="Z22" s="512"/>
    </row>
    <row r="23" spans="2:27" x14ac:dyDescent="0.2">
      <c r="B23" s="484"/>
      <c r="C23" s="486"/>
      <c r="D23" s="505"/>
      <c r="E23" s="507"/>
      <c r="F23" s="484"/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486"/>
      <c r="V23" s="486"/>
      <c r="W23" s="486"/>
      <c r="X23" s="486"/>
      <c r="Y23" s="486"/>
      <c r="Z23" s="512"/>
    </row>
    <row r="24" spans="2:27" x14ac:dyDescent="0.2">
      <c r="B24" s="484"/>
      <c r="C24" s="486"/>
      <c r="D24" s="505"/>
      <c r="E24" s="507"/>
      <c r="F24" s="484"/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486"/>
      <c r="V24" s="486"/>
      <c r="W24" s="486"/>
      <c r="X24" s="486"/>
      <c r="Y24" s="486"/>
      <c r="Z24" s="512"/>
    </row>
    <row r="25" spans="2:27" x14ac:dyDescent="0.2">
      <c r="B25" s="484"/>
      <c r="C25" s="486"/>
      <c r="D25" s="505"/>
      <c r="E25" s="507"/>
      <c r="F25" s="484"/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486"/>
      <c r="V25" s="486"/>
      <c r="W25" s="486"/>
      <c r="X25" s="486"/>
      <c r="Y25" s="486"/>
      <c r="Z25" s="512"/>
    </row>
    <row r="26" spans="2:27" x14ac:dyDescent="0.2">
      <c r="B26" s="105">
        <v>1</v>
      </c>
      <c r="C26" s="106" t="str">
        <f t="shared" ref="C26:C32" si="3">C9</f>
        <v>ZŠ J. Vohradského</v>
      </c>
      <c r="D26" s="121">
        <f t="shared" ref="D26:D29" si="4">SUM(F26:Z26)</f>
        <v>0</v>
      </c>
      <c r="E26" s="157" t="s">
        <v>67</v>
      </c>
      <c r="F26" s="108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10"/>
    </row>
    <row r="27" spans="2:27" x14ac:dyDescent="0.2">
      <c r="B27" s="105">
        <v>2</v>
      </c>
      <c r="C27" s="106" t="str">
        <f t="shared" si="3"/>
        <v>Tělocvična ZŠ J. Vohradského</v>
      </c>
      <c r="D27" s="121">
        <f t="shared" si="4"/>
        <v>0</v>
      </c>
      <c r="E27" s="157" t="s">
        <v>67</v>
      </c>
      <c r="F27" s="108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10"/>
    </row>
    <row r="28" spans="2:27" x14ac:dyDescent="0.2">
      <c r="B28" s="105">
        <v>3</v>
      </c>
      <c r="C28" s="106" t="str">
        <f t="shared" si="3"/>
        <v>Jídelna ZŠ J. Vohradského</v>
      </c>
      <c r="D28" s="121">
        <f t="shared" si="4"/>
        <v>0</v>
      </c>
      <c r="E28" s="157" t="s">
        <v>67</v>
      </c>
      <c r="F28" s="108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10"/>
    </row>
    <row r="29" spans="2:27" x14ac:dyDescent="0.2">
      <c r="B29" s="105">
        <v>4</v>
      </c>
      <c r="C29" s="106" t="str">
        <f t="shared" si="3"/>
        <v>ZŠ Žižkova</v>
      </c>
      <c r="D29" s="121">
        <f t="shared" si="4"/>
        <v>0</v>
      </c>
      <c r="E29" s="157" t="s">
        <v>67</v>
      </c>
      <c r="F29" s="108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10"/>
    </row>
    <row r="30" spans="2:27" x14ac:dyDescent="0.2">
      <c r="B30" s="105">
        <v>5</v>
      </c>
      <c r="C30" s="106" t="str">
        <f t="shared" si="3"/>
        <v>MŠ Svojsíkova 352</v>
      </c>
      <c r="D30" s="121">
        <f t="shared" ref="D30:D32" si="5">SUM(F30:Z30)</f>
        <v>0</v>
      </c>
      <c r="E30" s="157" t="s">
        <v>67</v>
      </c>
      <c r="F30" s="108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10"/>
    </row>
    <row r="31" spans="2:27" x14ac:dyDescent="0.2">
      <c r="B31" s="105">
        <v>6</v>
      </c>
      <c r="C31" s="106" t="str">
        <f t="shared" si="3"/>
        <v>MŠ Svojsíkova 355</v>
      </c>
      <c r="D31" s="121">
        <f t="shared" si="5"/>
        <v>0</v>
      </c>
      <c r="E31" s="157" t="s">
        <v>67</v>
      </c>
      <c r="F31" s="108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10"/>
    </row>
    <row r="32" spans="2:27" ht="13.5" thickBot="1" x14ac:dyDescent="0.25">
      <c r="B32" s="111">
        <v>7</v>
      </c>
      <c r="C32" s="112" t="str">
        <f t="shared" si="3"/>
        <v>Veřejné osvětlení</v>
      </c>
      <c r="D32" s="122">
        <f t="shared" si="5"/>
        <v>0</v>
      </c>
      <c r="E32" s="156" t="s">
        <v>67</v>
      </c>
      <c r="F32" s="114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6"/>
    </row>
    <row r="33" spans="2:26" ht="13.5" thickBot="1" x14ac:dyDescent="0.25">
      <c r="B33" s="498" t="s">
        <v>68</v>
      </c>
      <c r="C33" s="499"/>
      <c r="D33" s="117">
        <f>SUM(D26:D32)</f>
        <v>0</v>
      </c>
      <c r="E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</row>
    <row r="34" spans="2:26" x14ac:dyDescent="0.2"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</row>
    <row r="35" spans="2:26" ht="13.5" thickBot="1" x14ac:dyDescent="0.25"/>
    <row r="36" spans="2:26" ht="13.5" thickBot="1" x14ac:dyDescent="0.25">
      <c r="B36" s="123" t="s">
        <v>73</v>
      </c>
      <c r="C36" s="124"/>
      <c r="D36" s="500" t="s">
        <v>144</v>
      </c>
      <c r="E36" s="501"/>
      <c r="F36" s="502"/>
      <c r="G36" s="502"/>
      <c r="H36" s="502"/>
      <c r="I36" s="503"/>
    </row>
    <row r="37" spans="2:26" ht="15.75" customHeight="1" x14ac:dyDescent="0.2">
      <c r="B37" s="484" t="s">
        <v>42</v>
      </c>
      <c r="C37" s="494" t="s">
        <v>74</v>
      </c>
      <c r="D37" s="495" t="s">
        <v>71</v>
      </c>
      <c r="E37" s="125"/>
      <c r="F37" s="496" t="s">
        <v>75</v>
      </c>
      <c r="G37" s="492" t="s">
        <v>76</v>
      </c>
      <c r="H37" s="492" t="s">
        <v>77</v>
      </c>
      <c r="I37" s="481" t="s">
        <v>78</v>
      </c>
    </row>
    <row r="38" spans="2:26" ht="15.75" customHeight="1" x14ac:dyDescent="0.2">
      <c r="B38" s="484"/>
      <c r="C38" s="494"/>
      <c r="D38" s="495"/>
      <c r="E38" s="126"/>
      <c r="F38" s="497"/>
      <c r="G38" s="493"/>
      <c r="H38" s="493"/>
      <c r="I38" s="482"/>
    </row>
    <row r="39" spans="2:26" ht="18.75" customHeight="1" x14ac:dyDescent="0.2">
      <c r="B39" s="484"/>
      <c r="C39" s="494"/>
      <c r="D39" s="495"/>
      <c r="E39" s="127"/>
      <c r="F39" s="128" t="s">
        <v>79</v>
      </c>
      <c r="G39" s="129" t="s">
        <v>143</v>
      </c>
      <c r="H39" s="129" t="s">
        <v>79</v>
      </c>
      <c r="I39" s="130" t="s">
        <v>84</v>
      </c>
    </row>
    <row r="40" spans="2:26" x14ac:dyDescent="0.2">
      <c r="B40" s="105">
        <v>1</v>
      </c>
      <c r="C40" s="131" t="str">
        <f t="shared" ref="C40:D46" si="6">C26</f>
        <v>ZŠ J. Vohradského</v>
      </c>
      <c r="D40" s="132">
        <f t="shared" si="6"/>
        <v>0</v>
      </c>
      <c r="E40" s="158" t="s">
        <v>67</v>
      </c>
      <c r="F40" s="108"/>
      <c r="G40" s="109"/>
      <c r="H40" s="109"/>
      <c r="I40" s="110"/>
    </row>
    <row r="41" spans="2:26" x14ac:dyDescent="0.2">
      <c r="B41" s="105">
        <v>2</v>
      </c>
      <c r="C41" s="131" t="str">
        <f t="shared" si="6"/>
        <v>Tělocvična ZŠ J. Vohradského</v>
      </c>
      <c r="D41" s="132">
        <f t="shared" si="6"/>
        <v>0</v>
      </c>
      <c r="E41" s="158" t="s">
        <v>67</v>
      </c>
      <c r="F41" s="108"/>
      <c r="G41" s="109"/>
      <c r="H41" s="109"/>
      <c r="I41" s="110"/>
    </row>
    <row r="42" spans="2:26" x14ac:dyDescent="0.2">
      <c r="B42" s="105">
        <v>3</v>
      </c>
      <c r="C42" s="131" t="str">
        <f t="shared" si="6"/>
        <v>Jídelna ZŠ J. Vohradského</v>
      </c>
      <c r="D42" s="132">
        <f t="shared" si="6"/>
        <v>0</v>
      </c>
      <c r="E42" s="158" t="s">
        <v>67</v>
      </c>
      <c r="F42" s="108"/>
      <c r="G42" s="109"/>
      <c r="H42" s="109"/>
      <c r="I42" s="110"/>
    </row>
    <row r="43" spans="2:26" x14ac:dyDescent="0.2">
      <c r="B43" s="105">
        <v>4</v>
      </c>
      <c r="C43" s="131" t="str">
        <f t="shared" si="6"/>
        <v>ZŠ Žižkova</v>
      </c>
      <c r="D43" s="132">
        <f t="shared" si="6"/>
        <v>0</v>
      </c>
      <c r="E43" s="158" t="s">
        <v>67</v>
      </c>
      <c r="F43" s="108"/>
      <c r="G43" s="109"/>
      <c r="H43" s="109"/>
      <c r="I43" s="110"/>
    </row>
    <row r="44" spans="2:26" x14ac:dyDescent="0.2">
      <c r="B44" s="105">
        <v>5</v>
      </c>
      <c r="C44" s="131" t="str">
        <f t="shared" si="6"/>
        <v>MŠ Svojsíkova 352</v>
      </c>
      <c r="D44" s="132">
        <f t="shared" si="6"/>
        <v>0</v>
      </c>
      <c r="E44" s="158" t="s">
        <v>67</v>
      </c>
      <c r="F44" s="108"/>
      <c r="G44" s="109"/>
      <c r="H44" s="109"/>
      <c r="I44" s="110"/>
    </row>
    <row r="45" spans="2:26" x14ac:dyDescent="0.2">
      <c r="B45" s="105">
        <v>6</v>
      </c>
      <c r="C45" s="131" t="str">
        <f t="shared" si="6"/>
        <v>MŠ Svojsíkova 355</v>
      </c>
      <c r="D45" s="132">
        <f t="shared" si="6"/>
        <v>0</v>
      </c>
      <c r="E45" s="158" t="s">
        <v>67</v>
      </c>
      <c r="F45" s="108"/>
      <c r="G45" s="109"/>
      <c r="H45" s="109"/>
      <c r="I45" s="110"/>
    </row>
    <row r="46" spans="2:26" ht="13.5" thickBot="1" x14ac:dyDescent="0.25">
      <c r="B46" s="105">
        <v>7</v>
      </c>
      <c r="C46" s="131" t="str">
        <f t="shared" si="6"/>
        <v>Veřejné osvětlení</v>
      </c>
      <c r="D46" s="132">
        <f t="shared" si="6"/>
        <v>0</v>
      </c>
      <c r="E46" s="158" t="s">
        <v>67</v>
      </c>
      <c r="F46" s="108"/>
      <c r="G46" s="109"/>
      <c r="H46" s="109"/>
      <c r="I46" s="110"/>
    </row>
    <row r="47" spans="2:26" ht="13.5" thickBot="1" x14ac:dyDescent="0.25">
      <c r="B47" s="479" t="s">
        <v>68</v>
      </c>
      <c r="C47" s="480"/>
      <c r="D47" s="134">
        <f>SUM(D40:D46)</f>
        <v>0</v>
      </c>
      <c r="E47" s="135"/>
      <c r="F47" s="136">
        <f>SUM(F40:F46)</f>
        <v>0</v>
      </c>
      <c r="G47" s="137">
        <f>SUM(G40:G46)</f>
        <v>0</v>
      </c>
      <c r="H47" s="137">
        <f>SUM(H40:H46)</f>
        <v>0</v>
      </c>
      <c r="I47" s="138">
        <f>SUM(I40:I46)</f>
        <v>0</v>
      </c>
      <c r="L47" s="139"/>
    </row>
    <row r="50" spans="2:13" ht="13.5" thickBot="1" x14ac:dyDescent="0.25">
      <c r="B50" s="140" t="s">
        <v>80</v>
      </c>
      <c r="C50" s="141"/>
      <c r="D50" s="142"/>
      <c r="E50" s="142"/>
      <c r="F50" s="142"/>
      <c r="G50" s="142"/>
      <c r="H50" s="142"/>
      <c r="I50" s="142"/>
      <c r="J50" s="143"/>
    </row>
    <row r="51" spans="2:13" ht="17.25" customHeight="1" thickBot="1" x14ac:dyDescent="0.25">
      <c r="B51" s="483" t="s">
        <v>42</v>
      </c>
      <c r="C51" s="485" t="s">
        <v>74</v>
      </c>
      <c r="D51" s="487" t="s">
        <v>71</v>
      </c>
      <c r="E51" s="144"/>
      <c r="F51" s="489" t="s">
        <v>81</v>
      </c>
      <c r="G51" s="490"/>
      <c r="H51" s="490"/>
      <c r="I51" s="490"/>
      <c r="J51" s="491"/>
    </row>
    <row r="52" spans="2:13" ht="43.5" customHeight="1" x14ac:dyDescent="0.2">
      <c r="B52" s="484"/>
      <c r="C52" s="486"/>
      <c r="D52" s="488"/>
      <c r="E52" s="145"/>
      <c r="F52" s="146" t="s">
        <v>75</v>
      </c>
      <c r="G52" s="147" t="s">
        <v>76</v>
      </c>
      <c r="H52" s="147" t="s">
        <v>77</v>
      </c>
      <c r="I52" s="147" t="s">
        <v>78</v>
      </c>
      <c r="J52" s="148" t="s">
        <v>82</v>
      </c>
      <c r="L52" s="133" t="s">
        <v>83</v>
      </c>
    </row>
    <row r="53" spans="2:13" x14ac:dyDescent="0.2">
      <c r="B53" s="105">
        <v>1</v>
      </c>
      <c r="C53" s="149" t="str">
        <f t="shared" ref="C53:C59" si="7">C40</f>
        <v>ZŠ J. Vohradského</v>
      </c>
      <c r="D53" s="150">
        <f t="shared" ref="D53:D55" si="8">SUM(F53:J53)</f>
        <v>0</v>
      </c>
      <c r="E53" s="158" t="s">
        <v>67</v>
      </c>
      <c r="F53" s="108"/>
      <c r="G53" s="109"/>
      <c r="H53" s="109"/>
      <c r="I53" s="109"/>
      <c r="J53" s="110"/>
      <c r="L53" s="139" t="str">
        <f t="shared" ref="L53:L60" si="9">IF(D53=D26,"OK","!")</f>
        <v>OK</v>
      </c>
      <c r="M53" s="96" t="str">
        <f t="shared" ref="M53:M60" si="10">CONCATENATE("(Buňka ",ADDRESS(ROW(D53),COLUMN(D53),4)," se musí rovnat buňce ",ADDRESS(ROW(D26),COLUMN(D26),4),")")</f>
        <v>(Buňka D53 se musí rovnat buňce D26)</v>
      </c>
    </row>
    <row r="54" spans="2:13" x14ac:dyDescent="0.2">
      <c r="B54" s="105">
        <v>2</v>
      </c>
      <c r="C54" s="149" t="str">
        <f t="shared" si="7"/>
        <v>Tělocvična ZŠ J. Vohradského</v>
      </c>
      <c r="D54" s="150">
        <f t="shared" si="8"/>
        <v>0</v>
      </c>
      <c r="E54" s="158" t="s">
        <v>67</v>
      </c>
      <c r="F54" s="108"/>
      <c r="G54" s="109"/>
      <c r="H54" s="109"/>
      <c r="I54" s="109"/>
      <c r="J54" s="110"/>
      <c r="L54" s="139" t="str">
        <f t="shared" si="9"/>
        <v>OK</v>
      </c>
      <c r="M54" s="96" t="str">
        <f t="shared" si="10"/>
        <v>(Buňka D54 se musí rovnat buňce D27)</v>
      </c>
    </row>
    <row r="55" spans="2:13" x14ac:dyDescent="0.2">
      <c r="B55" s="105">
        <v>3</v>
      </c>
      <c r="C55" s="149" t="str">
        <f t="shared" si="7"/>
        <v>Jídelna ZŠ J. Vohradského</v>
      </c>
      <c r="D55" s="150">
        <f t="shared" si="8"/>
        <v>0</v>
      </c>
      <c r="E55" s="158" t="s">
        <v>67</v>
      </c>
      <c r="F55" s="108"/>
      <c r="G55" s="109"/>
      <c r="H55" s="109"/>
      <c r="I55" s="109"/>
      <c r="J55" s="110"/>
      <c r="L55" s="139" t="str">
        <f t="shared" si="9"/>
        <v>OK</v>
      </c>
      <c r="M55" s="96" t="str">
        <f t="shared" si="10"/>
        <v>(Buňka D55 se musí rovnat buňce D28)</v>
      </c>
    </row>
    <row r="56" spans="2:13" x14ac:dyDescent="0.2">
      <c r="B56" s="105">
        <v>4</v>
      </c>
      <c r="C56" s="149" t="str">
        <f t="shared" si="7"/>
        <v>ZŠ Žižkova</v>
      </c>
      <c r="D56" s="150">
        <f t="shared" ref="D56:D59" si="11">SUM(F56:J56)</f>
        <v>0</v>
      </c>
      <c r="E56" s="158" t="s">
        <v>67</v>
      </c>
      <c r="F56" s="108"/>
      <c r="G56" s="109"/>
      <c r="H56" s="109"/>
      <c r="I56" s="109"/>
      <c r="J56" s="110"/>
      <c r="L56" s="139" t="str">
        <f t="shared" si="9"/>
        <v>OK</v>
      </c>
      <c r="M56" s="96" t="str">
        <f t="shared" si="10"/>
        <v>(Buňka D56 se musí rovnat buňce D29)</v>
      </c>
    </row>
    <row r="57" spans="2:13" x14ac:dyDescent="0.2">
      <c r="B57" s="105">
        <v>5</v>
      </c>
      <c r="C57" s="149" t="str">
        <f t="shared" si="7"/>
        <v>MŠ Svojsíkova 352</v>
      </c>
      <c r="D57" s="150">
        <f t="shared" si="11"/>
        <v>0</v>
      </c>
      <c r="E57" s="158" t="s">
        <v>67</v>
      </c>
      <c r="F57" s="108"/>
      <c r="G57" s="109"/>
      <c r="H57" s="109"/>
      <c r="I57" s="109"/>
      <c r="J57" s="110"/>
      <c r="L57" s="139" t="str">
        <f t="shared" si="9"/>
        <v>OK</v>
      </c>
      <c r="M57" s="96" t="str">
        <f t="shared" si="10"/>
        <v>(Buňka D57 se musí rovnat buňce D30)</v>
      </c>
    </row>
    <row r="58" spans="2:13" x14ac:dyDescent="0.2">
      <c r="B58" s="105">
        <v>6</v>
      </c>
      <c r="C58" s="149" t="str">
        <f t="shared" si="7"/>
        <v>MŠ Svojsíkova 355</v>
      </c>
      <c r="D58" s="150">
        <f t="shared" si="11"/>
        <v>0</v>
      </c>
      <c r="E58" s="158" t="s">
        <v>67</v>
      </c>
      <c r="F58" s="108"/>
      <c r="G58" s="109"/>
      <c r="H58" s="109"/>
      <c r="I58" s="109"/>
      <c r="J58" s="110"/>
      <c r="L58" s="139" t="str">
        <f t="shared" si="9"/>
        <v>OK</v>
      </c>
      <c r="M58" s="96" t="str">
        <f t="shared" si="10"/>
        <v>(Buňka D58 se musí rovnat buňce D31)</v>
      </c>
    </row>
    <row r="59" spans="2:13" ht="13.5" thickBot="1" x14ac:dyDescent="0.25">
      <c r="B59" s="105">
        <v>7</v>
      </c>
      <c r="C59" s="149" t="str">
        <f t="shared" si="7"/>
        <v>Veřejné osvětlení</v>
      </c>
      <c r="D59" s="150">
        <f t="shared" si="11"/>
        <v>0</v>
      </c>
      <c r="E59" s="158" t="s">
        <v>67</v>
      </c>
      <c r="F59" s="108"/>
      <c r="G59" s="109"/>
      <c r="H59" s="109"/>
      <c r="I59" s="109"/>
      <c r="J59" s="110"/>
      <c r="L59" s="139" t="str">
        <f t="shared" si="9"/>
        <v>OK</v>
      </c>
      <c r="M59" s="96" t="str">
        <f t="shared" si="10"/>
        <v>(Buňka D59 se musí rovnat buňce D32)</v>
      </c>
    </row>
    <row r="60" spans="2:13" ht="13.5" thickBot="1" x14ac:dyDescent="0.25">
      <c r="B60" s="479" t="s">
        <v>68</v>
      </c>
      <c r="C60" s="480"/>
      <c r="D60" s="151">
        <f>SUM(D53:D59)</f>
        <v>0</v>
      </c>
      <c r="E60" s="135"/>
      <c r="F60" s="152">
        <f>SUM(F53:F59)</f>
        <v>0</v>
      </c>
      <c r="G60" s="153">
        <f>SUM(G53:G59)</f>
        <v>0</v>
      </c>
      <c r="H60" s="153">
        <f>SUM(H53:H59)</f>
        <v>0</v>
      </c>
      <c r="I60" s="153">
        <f>SUM(I53:I59)</f>
        <v>0</v>
      </c>
      <c r="J60" s="154">
        <f>SUM(J53:J59)</f>
        <v>0</v>
      </c>
      <c r="L60" s="139" t="str">
        <f t="shared" si="9"/>
        <v>OK</v>
      </c>
      <c r="M60" s="96" t="str">
        <f t="shared" si="10"/>
        <v>(Buňka D60 se musí rovnat buňce D33)</v>
      </c>
    </row>
  </sheetData>
  <mergeCells count="67">
    <mergeCell ref="D2:Y2"/>
    <mergeCell ref="B3:B8"/>
    <mergeCell ref="C3:C8"/>
    <mergeCell ref="D3:D8"/>
    <mergeCell ref="E3:E8"/>
    <mergeCell ref="F4:F8"/>
    <mergeCell ref="G4:G8"/>
    <mergeCell ref="H4:H8"/>
    <mergeCell ref="I4:I8"/>
    <mergeCell ref="J4:J8"/>
    <mergeCell ref="W4:W8"/>
    <mergeCell ref="X4:X8"/>
    <mergeCell ref="Y4:Y8"/>
    <mergeCell ref="Z20:Z25"/>
    <mergeCell ref="Q21:Q25"/>
    <mergeCell ref="F21:F25"/>
    <mergeCell ref="G21:G25"/>
    <mergeCell ref="H21:H25"/>
    <mergeCell ref="I21:I25"/>
    <mergeCell ref="J21:J25"/>
    <mergeCell ref="K21:K25"/>
    <mergeCell ref="L21:L25"/>
    <mergeCell ref="M21:M25"/>
    <mergeCell ref="N21:N25"/>
    <mergeCell ref="O21:O25"/>
    <mergeCell ref="X21:X25"/>
    <mergeCell ref="Y21:Y25"/>
    <mergeCell ref="B16:C16"/>
    <mergeCell ref="D19:Z19"/>
    <mergeCell ref="Q4:Q8"/>
    <mergeCell ref="R4:R8"/>
    <mergeCell ref="S4:S8"/>
    <mergeCell ref="T4:T8"/>
    <mergeCell ref="U4:U8"/>
    <mergeCell ref="V4:V8"/>
    <mergeCell ref="K4:K8"/>
    <mergeCell ref="L4:L8"/>
    <mergeCell ref="M4:M8"/>
    <mergeCell ref="N4:N8"/>
    <mergeCell ref="O4:O8"/>
    <mergeCell ref="P4:P8"/>
    <mergeCell ref="B33:C33"/>
    <mergeCell ref="D36:I36"/>
    <mergeCell ref="V21:V25"/>
    <mergeCell ref="W21:W25"/>
    <mergeCell ref="B20:B25"/>
    <mergeCell ref="C20:C25"/>
    <mergeCell ref="D20:D25"/>
    <mergeCell ref="E20:E25"/>
    <mergeCell ref="R21:R25"/>
    <mergeCell ref="S21:S25"/>
    <mergeCell ref="T21:T25"/>
    <mergeCell ref="U21:U25"/>
    <mergeCell ref="P21:P25"/>
    <mergeCell ref="B60:C60"/>
    <mergeCell ref="I37:I38"/>
    <mergeCell ref="B47:C47"/>
    <mergeCell ref="B51:B52"/>
    <mergeCell ref="C51:C52"/>
    <mergeCell ref="D51:D52"/>
    <mergeCell ref="F51:J51"/>
    <mergeCell ref="H37:H38"/>
    <mergeCell ref="B37:B39"/>
    <mergeCell ref="C37:C39"/>
    <mergeCell ref="D37:D39"/>
    <mergeCell ref="F37:F38"/>
    <mergeCell ref="G37:G38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A2:U53"/>
  <sheetViews>
    <sheetView showGridLines="0" topLeftCell="A7" zoomScale="85" zoomScaleNormal="85" workbookViewId="0">
      <selection activeCell="V41" sqref="V41"/>
    </sheetView>
  </sheetViews>
  <sheetFormatPr defaultRowHeight="15" x14ac:dyDescent="0.25"/>
  <cols>
    <col min="1" max="1" width="2.140625" style="164" customWidth="1"/>
    <col min="2" max="2" width="39" style="164" customWidth="1"/>
    <col min="3" max="3" width="9.140625" style="164"/>
    <col min="4" max="5" width="11.28515625" style="164" customWidth="1"/>
    <col min="6" max="6" width="10.28515625" style="164" customWidth="1"/>
    <col min="7" max="7" width="9.7109375" style="164" customWidth="1"/>
    <col min="8" max="8" width="10.140625" style="164" customWidth="1"/>
    <col min="9" max="9" width="9.5703125" style="164" customWidth="1"/>
    <col min="10" max="10" width="10" style="164" customWidth="1"/>
    <col min="11" max="11" width="10.28515625" style="164" customWidth="1"/>
    <col min="12" max="14" width="9.5703125" style="164" customWidth="1"/>
    <col min="15" max="15" width="10.42578125" style="164" customWidth="1"/>
    <col min="16" max="16" width="9.85546875" style="164" customWidth="1"/>
    <col min="17" max="17" width="10" style="164" customWidth="1"/>
    <col min="18" max="18" width="11.5703125" style="164" customWidth="1"/>
    <col min="19" max="19" width="11.42578125" style="164" customWidth="1"/>
    <col min="20" max="20" width="9.85546875" style="164" bestFit="1" customWidth="1"/>
    <col min="21" max="21" width="11.7109375" style="164" customWidth="1"/>
    <col min="22" max="260" width="9.140625" style="164"/>
    <col min="261" max="261" width="31.140625" style="164" customWidth="1"/>
    <col min="262" max="262" width="9.140625" style="164"/>
    <col min="263" max="263" width="11.28515625" style="164" customWidth="1"/>
    <col min="264" max="516" width="9.140625" style="164"/>
    <col min="517" max="517" width="31.140625" style="164" customWidth="1"/>
    <col min="518" max="518" width="9.140625" style="164"/>
    <col min="519" max="519" width="11.28515625" style="164" customWidth="1"/>
    <col min="520" max="772" width="9.140625" style="164"/>
    <col min="773" max="773" width="31.140625" style="164" customWidth="1"/>
    <col min="774" max="774" width="9.140625" style="164"/>
    <col min="775" max="775" width="11.28515625" style="164" customWidth="1"/>
    <col min="776" max="1028" width="9.140625" style="164"/>
    <col min="1029" max="1029" width="31.140625" style="164" customWidth="1"/>
    <col min="1030" max="1030" width="9.140625" style="164"/>
    <col min="1031" max="1031" width="11.28515625" style="164" customWidth="1"/>
    <col min="1032" max="1284" width="9.140625" style="164"/>
    <col min="1285" max="1285" width="31.140625" style="164" customWidth="1"/>
    <col min="1286" max="1286" width="9.140625" style="164"/>
    <col min="1287" max="1287" width="11.28515625" style="164" customWidth="1"/>
    <col min="1288" max="1540" width="9.140625" style="164"/>
    <col min="1541" max="1541" width="31.140625" style="164" customWidth="1"/>
    <col min="1542" max="1542" width="9.140625" style="164"/>
    <col min="1543" max="1543" width="11.28515625" style="164" customWidth="1"/>
    <col min="1544" max="1796" width="9.140625" style="164"/>
    <col min="1797" max="1797" width="31.140625" style="164" customWidth="1"/>
    <col min="1798" max="1798" width="9.140625" style="164"/>
    <col min="1799" max="1799" width="11.28515625" style="164" customWidth="1"/>
    <col min="1800" max="2052" width="9.140625" style="164"/>
    <col min="2053" max="2053" width="31.140625" style="164" customWidth="1"/>
    <col min="2054" max="2054" width="9.140625" style="164"/>
    <col min="2055" max="2055" width="11.28515625" style="164" customWidth="1"/>
    <col min="2056" max="2308" width="9.140625" style="164"/>
    <col min="2309" max="2309" width="31.140625" style="164" customWidth="1"/>
    <col min="2310" max="2310" width="9.140625" style="164"/>
    <col min="2311" max="2311" width="11.28515625" style="164" customWidth="1"/>
    <col min="2312" max="2564" width="9.140625" style="164"/>
    <col min="2565" max="2565" width="31.140625" style="164" customWidth="1"/>
    <col min="2566" max="2566" width="9.140625" style="164"/>
    <col min="2567" max="2567" width="11.28515625" style="164" customWidth="1"/>
    <col min="2568" max="2820" width="9.140625" style="164"/>
    <col min="2821" max="2821" width="31.140625" style="164" customWidth="1"/>
    <col min="2822" max="2822" width="9.140625" style="164"/>
    <col min="2823" max="2823" width="11.28515625" style="164" customWidth="1"/>
    <col min="2824" max="3076" width="9.140625" style="164"/>
    <col min="3077" max="3077" width="31.140625" style="164" customWidth="1"/>
    <col min="3078" max="3078" width="9.140625" style="164"/>
    <col min="3079" max="3079" width="11.28515625" style="164" customWidth="1"/>
    <col min="3080" max="3332" width="9.140625" style="164"/>
    <col min="3333" max="3333" width="31.140625" style="164" customWidth="1"/>
    <col min="3334" max="3334" width="9.140625" style="164"/>
    <col min="3335" max="3335" width="11.28515625" style="164" customWidth="1"/>
    <col min="3336" max="3588" width="9.140625" style="164"/>
    <col min="3589" max="3589" width="31.140625" style="164" customWidth="1"/>
    <col min="3590" max="3590" width="9.140625" style="164"/>
    <col min="3591" max="3591" width="11.28515625" style="164" customWidth="1"/>
    <col min="3592" max="3844" width="9.140625" style="164"/>
    <col min="3845" max="3845" width="31.140625" style="164" customWidth="1"/>
    <col min="3846" max="3846" width="9.140625" style="164"/>
    <col min="3847" max="3847" width="11.28515625" style="164" customWidth="1"/>
    <col min="3848" max="4100" width="9.140625" style="164"/>
    <col min="4101" max="4101" width="31.140625" style="164" customWidth="1"/>
    <col min="4102" max="4102" width="9.140625" style="164"/>
    <col min="4103" max="4103" width="11.28515625" style="164" customWidth="1"/>
    <col min="4104" max="4356" width="9.140625" style="164"/>
    <col min="4357" max="4357" width="31.140625" style="164" customWidth="1"/>
    <col min="4358" max="4358" width="9.140625" style="164"/>
    <col min="4359" max="4359" width="11.28515625" style="164" customWidth="1"/>
    <col min="4360" max="4612" width="9.140625" style="164"/>
    <col min="4613" max="4613" width="31.140625" style="164" customWidth="1"/>
    <col min="4614" max="4614" width="9.140625" style="164"/>
    <col min="4615" max="4615" width="11.28515625" style="164" customWidth="1"/>
    <col min="4616" max="4868" width="9.140625" style="164"/>
    <col min="4869" max="4869" width="31.140625" style="164" customWidth="1"/>
    <col min="4870" max="4870" width="9.140625" style="164"/>
    <col min="4871" max="4871" width="11.28515625" style="164" customWidth="1"/>
    <col min="4872" max="5124" width="9.140625" style="164"/>
    <col min="5125" max="5125" width="31.140625" style="164" customWidth="1"/>
    <col min="5126" max="5126" width="9.140625" style="164"/>
    <col min="5127" max="5127" width="11.28515625" style="164" customWidth="1"/>
    <col min="5128" max="5380" width="9.140625" style="164"/>
    <col min="5381" max="5381" width="31.140625" style="164" customWidth="1"/>
    <col min="5382" max="5382" width="9.140625" style="164"/>
    <col min="5383" max="5383" width="11.28515625" style="164" customWidth="1"/>
    <col min="5384" max="5636" width="9.140625" style="164"/>
    <col min="5637" max="5637" width="31.140625" style="164" customWidth="1"/>
    <col min="5638" max="5638" width="9.140625" style="164"/>
    <col min="5639" max="5639" width="11.28515625" style="164" customWidth="1"/>
    <col min="5640" max="5892" width="9.140625" style="164"/>
    <col min="5893" max="5893" width="31.140625" style="164" customWidth="1"/>
    <col min="5894" max="5894" width="9.140625" style="164"/>
    <col min="5895" max="5895" width="11.28515625" style="164" customWidth="1"/>
    <col min="5896" max="6148" width="9.140625" style="164"/>
    <col min="6149" max="6149" width="31.140625" style="164" customWidth="1"/>
    <col min="6150" max="6150" width="9.140625" style="164"/>
    <col min="6151" max="6151" width="11.28515625" style="164" customWidth="1"/>
    <col min="6152" max="6404" width="9.140625" style="164"/>
    <col min="6405" max="6405" width="31.140625" style="164" customWidth="1"/>
    <col min="6406" max="6406" width="9.140625" style="164"/>
    <col min="6407" max="6407" width="11.28515625" style="164" customWidth="1"/>
    <col min="6408" max="6660" width="9.140625" style="164"/>
    <col min="6661" max="6661" width="31.140625" style="164" customWidth="1"/>
    <col min="6662" max="6662" width="9.140625" style="164"/>
    <col min="6663" max="6663" width="11.28515625" style="164" customWidth="1"/>
    <col min="6664" max="6916" width="9.140625" style="164"/>
    <col min="6917" max="6917" width="31.140625" style="164" customWidth="1"/>
    <col min="6918" max="6918" width="9.140625" style="164"/>
    <col min="6919" max="6919" width="11.28515625" style="164" customWidth="1"/>
    <col min="6920" max="7172" width="9.140625" style="164"/>
    <col min="7173" max="7173" width="31.140625" style="164" customWidth="1"/>
    <col min="7174" max="7174" width="9.140625" style="164"/>
    <col min="7175" max="7175" width="11.28515625" style="164" customWidth="1"/>
    <col min="7176" max="7428" width="9.140625" style="164"/>
    <col min="7429" max="7429" width="31.140625" style="164" customWidth="1"/>
    <col min="7430" max="7430" width="9.140625" style="164"/>
    <col min="7431" max="7431" width="11.28515625" style="164" customWidth="1"/>
    <col min="7432" max="7684" width="9.140625" style="164"/>
    <col min="7685" max="7685" width="31.140625" style="164" customWidth="1"/>
    <col min="7686" max="7686" width="9.140625" style="164"/>
    <col min="7687" max="7687" width="11.28515625" style="164" customWidth="1"/>
    <col min="7688" max="7940" width="9.140625" style="164"/>
    <col min="7941" max="7941" width="31.140625" style="164" customWidth="1"/>
    <col min="7942" max="7942" width="9.140625" style="164"/>
    <col min="7943" max="7943" width="11.28515625" style="164" customWidth="1"/>
    <col min="7944" max="8196" width="9.140625" style="164"/>
    <col min="8197" max="8197" width="31.140625" style="164" customWidth="1"/>
    <col min="8198" max="8198" width="9.140625" style="164"/>
    <col min="8199" max="8199" width="11.28515625" style="164" customWidth="1"/>
    <col min="8200" max="8452" width="9.140625" style="164"/>
    <col min="8453" max="8453" width="31.140625" style="164" customWidth="1"/>
    <col min="8454" max="8454" width="9.140625" style="164"/>
    <col min="8455" max="8455" width="11.28515625" style="164" customWidth="1"/>
    <col min="8456" max="8708" width="9.140625" style="164"/>
    <col min="8709" max="8709" width="31.140625" style="164" customWidth="1"/>
    <col min="8710" max="8710" width="9.140625" style="164"/>
    <col min="8711" max="8711" width="11.28515625" style="164" customWidth="1"/>
    <col min="8712" max="8964" width="9.140625" style="164"/>
    <col min="8965" max="8965" width="31.140625" style="164" customWidth="1"/>
    <col min="8966" max="8966" width="9.140625" style="164"/>
    <col min="8967" max="8967" width="11.28515625" style="164" customWidth="1"/>
    <col min="8968" max="9220" width="9.140625" style="164"/>
    <col min="9221" max="9221" width="31.140625" style="164" customWidth="1"/>
    <col min="9222" max="9222" width="9.140625" style="164"/>
    <col min="9223" max="9223" width="11.28515625" style="164" customWidth="1"/>
    <col min="9224" max="9476" width="9.140625" style="164"/>
    <col min="9477" max="9477" width="31.140625" style="164" customWidth="1"/>
    <col min="9478" max="9478" width="9.140625" style="164"/>
    <col min="9479" max="9479" width="11.28515625" style="164" customWidth="1"/>
    <col min="9480" max="9732" width="9.140625" style="164"/>
    <col min="9733" max="9733" width="31.140625" style="164" customWidth="1"/>
    <col min="9734" max="9734" width="9.140625" style="164"/>
    <col min="9735" max="9735" width="11.28515625" style="164" customWidth="1"/>
    <col min="9736" max="9988" width="9.140625" style="164"/>
    <col min="9989" max="9989" width="31.140625" style="164" customWidth="1"/>
    <col min="9990" max="9990" width="9.140625" style="164"/>
    <col min="9991" max="9991" width="11.28515625" style="164" customWidth="1"/>
    <col min="9992" max="10244" width="9.140625" style="164"/>
    <col min="10245" max="10245" width="31.140625" style="164" customWidth="1"/>
    <col min="10246" max="10246" width="9.140625" style="164"/>
    <col min="10247" max="10247" width="11.28515625" style="164" customWidth="1"/>
    <col min="10248" max="10500" width="9.140625" style="164"/>
    <col min="10501" max="10501" width="31.140625" style="164" customWidth="1"/>
    <col min="10502" max="10502" width="9.140625" style="164"/>
    <col min="10503" max="10503" width="11.28515625" style="164" customWidth="1"/>
    <col min="10504" max="10756" width="9.140625" style="164"/>
    <col min="10757" max="10757" width="31.140625" style="164" customWidth="1"/>
    <col min="10758" max="10758" width="9.140625" style="164"/>
    <col min="10759" max="10759" width="11.28515625" style="164" customWidth="1"/>
    <col min="10760" max="11012" width="9.140625" style="164"/>
    <col min="11013" max="11013" width="31.140625" style="164" customWidth="1"/>
    <col min="11014" max="11014" width="9.140625" style="164"/>
    <col min="11015" max="11015" width="11.28515625" style="164" customWidth="1"/>
    <col min="11016" max="11268" width="9.140625" style="164"/>
    <col min="11269" max="11269" width="31.140625" style="164" customWidth="1"/>
    <col min="11270" max="11270" width="9.140625" style="164"/>
    <col min="11271" max="11271" width="11.28515625" style="164" customWidth="1"/>
    <col min="11272" max="11524" width="9.140625" style="164"/>
    <col min="11525" max="11525" width="31.140625" style="164" customWidth="1"/>
    <col min="11526" max="11526" width="9.140625" style="164"/>
    <col min="11527" max="11527" width="11.28515625" style="164" customWidth="1"/>
    <col min="11528" max="11780" width="9.140625" style="164"/>
    <col min="11781" max="11781" width="31.140625" style="164" customWidth="1"/>
    <col min="11782" max="11782" width="9.140625" style="164"/>
    <col min="11783" max="11783" width="11.28515625" style="164" customWidth="1"/>
    <col min="11784" max="12036" width="9.140625" style="164"/>
    <col min="12037" max="12037" width="31.140625" style="164" customWidth="1"/>
    <col min="12038" max="12038" width="9.140625" style="164"/>
    <col min="12039" max="12039" width="11.28515625" style="164" customWidth="1"/>
    <col min="12040" max="12292" width="9.140625" style="164"/>
    <col min="12293" max="12293" width="31.140625" style="164" customWidth="1"/>
    <col min="12294" max="12294" width="9.140625" style="164"/>
    <col min="12295" max="12295" width="11.28515625" style="164" customWidth="1"/>
    <col min="12296" max="12548" width="9.140625" style="164"/>
    <col min="12549" max="12549" width="31.140625" style="164" customWidth="1"/>
    <col min="12550" max="12550" width="9.140625" style="164"/>
    <col min="12551" max="12551" width="11.28515625" style="164" customWidth="1"/>
    <col min="12552" max="12804" width="9.140625" style="164"/>
    <col min="12805" max="12805" width="31.140625" style="164" customWidth="1"/>
    <col min="12806" max="12806" width="9.140625" style="164"/>
    <col min="12807" max="12807" width="11.28515625" style="164" customWidth="1"/>
    <col min="12808" max="13060" width="9.140625" style="164"/>
    <col min="13061" max="13061" width="31.140625" style="164" customWidth="1"/>
    <col min="13062" max="13062" width="9.140625" style="164"/>
    <col min="13063" max="13063" width="11.28515625" style="164" customWidth="1"/>
    <col min="13064" max="13316" width="9.140625" style="164"/>
    <col min="13317" max="13317" width="31.140625" style="164" customWidth="1"/>
    <col min="13318" max="13318" width="9.140625" style="164"/>
    <col min="13319" max="13319" width="11.28515625" style="164" customWidth="1"/>
    <col min="13320" max="13572" width="9.140625" style="164"/>
    <col min="13573" max="13573" width="31.140625" style="164" customWidth="1"/>
    <col min="13574" max="13574" width="9.140625" style="164"/>
    <col min="13575" max="13575" width="11.28515625" style="164" customWidth="1"/>
    <col min="13576" max="13828" width="9.140625" style="164"/>
    <col min="13829" max="13829" width="31.140625" style="164" customWidth="1"/>
    <col min="13830" max="13830" width="9.140625" style="164"/>
    <col min="13831" max="13831" width="11.28515625" style="164" customWidth="1"/>
    <col min="13832" max="14084" width="9.140625" style="164"/>
    <col min="14085" max="14085" width="31.140625" style="164" customWidth="1"/>
    <col min="14086" max="14086" width="9.140625" style="164"/>
    <col min="14087" max="14087" width="11.28515625" style="164" customWidth="1"/>
    <col min="14088" max="14340" width="9.140625" style="164"/>
    <col min="14341" max="14341" width="31.140625" style="164" customWidth="1"/>
    <col min="14342" max="14342" width="9.140625" style="164"/>
    <col min="14343" max="14343" width="11.28515625" style="164" customWidth="1"/>
    <col min="14344" max="14596" width="9.140625" style="164"/>
    <col min="14597" max="14597" width="31.140625" style="164" customWidth="1"/>
    <col min="14598" max="14598" width="9.140625" style="164"/>
    <col min="14599" max="14599" width="11.28515625" style="164" customWidth="1"/>
    <col min="14600" max="14852" width="9.140625" style="164"/>
    <col min="14853" max="14853" width="31.140625" style="164" customWidth="1"/>
    <col min="14854" max="14854" width="9.140625" style="164"/>
    <col min="14855" max="14855" width="11.28515625" style="164" customWidth="1"/>
    <col min="14856" max="15108" width="9.140625" style="164"/>
    <col min="15109" max="15109" width="31.140625" style="164" customWidth="1"/>
    <col min="15110" max="15110" width="9.140625" style="164"/>
    <col min="15111" max="15111" width="11.28515625" style="164" customWidth="1"/>
    <col min="15112" max="15364" width="9.140625" style="164"/>
    <col min="15365" max="15365" width="31.140625" style="164" customWidth="1"/>
    <col min="15366" max="15366" width="9.140625" style="164"/>
    <col min="15367" max="15367" width="11.28515625" style="164" customWidth="1"/>
    <col min="15368" max="15620" width="9.140625" style="164"/>
    <col min="15621" max="15621" width="31.140625" style="164" customWidth="1"/>
    <col min="15622" max="15622" width="9.140625" style="164"/>
    <col min="15623" max="15623" width="11.28515625" style="164" customWidth="1"/>
    <col min="15624" max="15876" width="9.140625" style="164"/>
    <col min="15877" max="15877" width="31.140625" style="164" customWidth="1"/>
    <col min="15878" max="15878" width="9.140625" style="164"/>
    <col min="15879" max="15879" width="11.28515625" style="164" customWidth="1"/>
    <col min="15880" max="16132" width="9.140625" style="164"/>
    <col min="16133" max="16133" width="31.140625" style="164" customWidth="1"/>
    <col min="16134" max="16134" width="9.140625" style="164"/>
    <col min="16135" max="16135" width="11.28515625" style="164" customWidth="1"/>
    <col min="16136" max="16384" width="9.140625" style="164"/>
  </cols>
  <sheetData>
    <row r="2" spans="2:19" x14ac:dyDescent="0.25">
      <c r="B2" s="159" t="s">
        <v>85</v>
      </c>
      <c r="C2" s="160">
        <v>12</v>
      </c>
      <c r="D2" s="161"/>
      <c r="E2" s="162"/>
      <c r="F2" s="162">
        <v>1</v>
      </c>
      <c r="G2" s="163">
        <v>2</v>
      </c>
      <c r="H2" s="162">
        <v>3</v>
      </c>
      <c r="I2" s="163">
        <v>4</v>
      </c>
      <c r="J2" s="162">
        <v>5</v>
      </c>
      <c r="K2" s="163">
        <v>6</v>
      </c>
      <c r="L2" s="162">
        <v>7</v>
      </c>
      <c r="M2" s="163">
        <v>8</v>
      </c>
      <c r="N2" s="162">
        <v>9</v>
      </c>
      <c r="O2" s="163">
        <v>10</v>
      </c>
      <c r="P2" s="162">
        <v>11</v>
      </c>
      <c r="Q2" s="163">
        <v>12</v>
      </c>
      <c r="R2" s="520" t="s">
        <v>86</v>
      </c>
    </row>
    <row r="3" spans="2:19" ht="27" customHeight="1" thickBot="1" x14ac:dyDescent="0.3">
      <c r="B3" s="165"/>
      <c r="C3" s="166" t="s">
        <v>87</v>
      </c>
      <c r="D3" s="167">
        <v>2016</v>
      </c>
      <c r="E3" s="167" t="s">
        <v>224</v>
      </c>
      <c r="F3" s="167">
        <v>2019</v>
      </c>
      <c r="G3" s="167">
        <f t="shared" ref="G3:O3" si="0">F3+1</f>
        <v>2020</v>
      </c>
      <c r="H3" s="167">
        <f t="shared" si="0"/>
        <v>2021</v>
      </c>
      <c r="I3" s="167">
        <f t="shared" si="0"/>
        <v>2022</v>
      </c>
      <c r="J3" s="167">
        <f t="shared" si="0"/>
        <v>2023</v>
      </c>
      <c r="K3" s="167">
        <f t="shared" si="0"/>
        <v>2024</v>
      </c>
      <c r="L3" s="167">
        <f t="shared" si="0"/>
        <v>2025</v>
      </c>
      <c r="M3" s="167">
        <f t="shared" si="0"/>
        <v>2026</v>
      </c>
      <c r="N3" s="167">
        <f t="shared" si="0"/>
        <v>2027</v>
      </c>
      <c r="O3" s="167">
        <f t="shared" si="0"/>
        <v>2028</v>
      </c>
      <c r="P3" s="167">
        <f t="shared" ref="P3:Q3" si="1">O3+1</f>
        <v>2029</v>
      </c>
      <c r="Q3" s="167">
        <f t="shared" si="1"/>
        <v>2030</v>
      </c>
      <c r="R3" s="520"/>
    </row>
    <row r="4" spans="2:19" ht="15.75" x14ac:dyDescent="0.25">
      <c r="B4" s="521" t="s">
        <v>226</v>
      </c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22"/>
      <c r="O4" s="522"/>
      <c r="P4" s="522"/>
      <c r="Q4" s="523"/>
    </row>
    <row r="5" spans="2:19" x14ac:dyDescent="0.25">
      <c r="B5" s="168" t="s">
        <v>88</v>
      </c>
      <c r="C5" s="169">
        <v>1</v>
      </c>
      <c r="D5" s="170">
        <f>'REFERENČNÍ SPOTŘEBY'!N129</f>
        <v>604218.5</v>
      </c>
      <c r="E5" s="171">
        <f>D5</f>
        <v>604218.5</v>
      </c>
      <c r="F5" s="171">
        <f t="shared" ref="F5:Q13" si="2">$D5</f>
        <v>604218.5</v>
      </c>
      <c r="G5" s="171">
        <f t="shared" si="2"/>
        <v>604218.5</v>
      </c>
      <c r="H5" s="171">
        <f t="shared" si="2"/>
        <v>604218.5</v>
      </c>
      <c r="I5" s="171">
        <f t="shared" si="2"/>
        <v>604218.5</v>
      </c>
      <c r="J5" s="171">
        <f t="shared" si="2"/>
        <v>604218.5</v>
      </c>
      <c r="K5" s="171">
        <f t="shared" si="2"/>
        <v>604218.5</v>
      </c>
      <c r="L5" s="171">
        <f t="shared" si="2"/>
        <v>604218.5</v>
      </c>
      <c r="M5" s="171">
        <f t="shared" si="2"/>
        <v>604218.5</v>
      </c>
      <c r="N5" s="171">
        <f t="shared" si="2"/>
        <v>604218.5</v>
      </c>
      <c r="O5" s="171">
        <f t="shared" si="2"/>
        <v>604218.5</v>
      </c>
      <c r="P5" s="171">
        <f t="shared" si="2"/>
        <v>604218.5</v>
      </c>
      <c r="Q5" s="172">
        <f t="shared" si="2"/>
        <v>604218.5</v>
      </c>
      <c r="R5" s="118">
        <f>SUM(F5:Q5)</f>
        <v>7250622</v>
      </c>
    </row>
    <row r="6" spans="2:19" x14ac:dyDescent="0.25">
      <c r="B6" s="173" t="s">
        <v>89</v>
      </c>
      <c r="C6" s="174">
        <v>2</v>
      </c>
      <c r="D6" s="170">
        <f>'REFERENČNÍ SPOTŘEBY'!T129</f>
        <v>536503.71</v>
      </c>
      <c r="E6" s="171">
        <f t="shared" ref="E6:E13" si="3">D6</f>
        <v>536503.71</v>
      </c>
      <c r="F6" s="171">
        <f t="shared" si="2"/>
        <v>536503.71</v>
      </c>
      <c r="G6" s="171">
        <f t="shared" si="2"/>
        <v>536503.71</v>
      </c>
      <c r="H6" s="171">
        <f t="shared" si="2"/>
        <v>536503.71</v>
      </c>
      <c r="I6" s="171">
        <f t="shared" si="2"/>
        <v>536503.71</v>
      </c>
      <c r="J6" s="171">
        <f t="shared" si="2"/>
        <v>536503.71</v>
      </c>
      <c r="K6" s="171">
        <f t="shared" si="2"/>
        <v>536503.71</v>
      </c>
      <c r="L6" s="171">
        <f t="shared" si="2"/>
        <v>536503.71</v>
      </c>
      <c r="M6" s="171">
        <f t="shared" si="2"/>
        <v>536503.71</v>
      </c>
      <c r="N6" s="171">
        <f t="shared" si="2"/>
        <v>536503.71</v>
      </c>
      <c r="O6" s="171">
        <f t="shared" si="2"/>
        <v>536503.71</v>
      </c>
      <c r="P6" s="171">
        <f t="shared" si="2"/>
        <v>536503.71</v>
      </c>
      <c r="Q6" s="172">
        <f t="shared" si="2"/>
        <v>536503.71</v>
      </c>
      <c r="R6" s="118">
        <f t="shared" ref="R6:R13" si="4">SUM(F6:Q6)</f>
        <v>6438044.5199999996</v>
      </c>
    </row>
    <row r="7" spans="2:19" x14ac:dyDescent="0.25">
      <c r="B7" s="173" t="s">
        <v>145</v>
      </c>
      <c r="C7" s="174">
        <v>3</v>
      </c>
      <c r="D7" s="170">
        <f>'REFERENČNÍ SPOTŘEBY'!H129</f>
        <v>2199.6</v>
      </c>
      <c r="E7" s="171">
        <f t="shared" si="3"/>
        <v>2199.6</v>
      </c>
      <c r="F7" s="171">
        <f t="shared" si="2"/>
        <v>2199.6</v>
      </c>
      <c r="G7" s="171">
        <f t="shared" si="2"/>
        <v>2199.6</v>
      </c>
      <c r="H7" s="171">
        <f t="shared" si="2"/>
        <v>2199.6</v>
      </c>
      <c r="I7" s="171">
        <f t="shared" si="2"/>
        <v>2199.6</v>
      </c>
      <c r="J7" s="171">
        <f t="shared" si="2"/>
        <v>2199.6</v>
      </c>
      <c r="K7" s="171">
        <f t="shared" si="2"/>
        <v>2199.6</v>
      </c>
      <c r="L7" s="171">
        <f t="shared" si="2"/>
        <v>2199.6</v>
      </c>
      <c r="M7" s="171">
        <f t="shared" si="2"/>
        <v>2199.6</v>
      </c>
      <c r="N7" s="171">
        <f t="shared" si="2"/>
        <v>2199.6</v>
      </c>
      <c r="O7" s="171">
        <f t="shared" si="2"/>
        <v>2199.6</v>
      </c>
      <c r="P7" s="171">
        <f t="shared" si="2"/>
        <v>2199.6</v>
      </c>
      <c r="Q7" s="172">
        <f t="shared" si="2"/>
        <v>2199.6</v>
      </c>
      <c r="R7" s="118">
        <f t="shared" si="4"/>
        <v>26395.199999999993</v>
      </c>
    </row>
    <row r="8" spans="2:19" ht="16.5" thickBot="1" x14ac:dyDescent="0.3">
      <c r="B8" s="175" t="s">
        <v>140</v>
      </c>
      <c r="C8" s="176">
        <v>4</v>
      </c>
      <c r="D8" s="177">
        <f>'REFERENČNÍ SPOTŘEBY'!AC129</f>
        <v>2413</v>
      </c>
      <c r="E8" s="178">
        <f t="shared" si="3"/>
        <v>2413</v>
      </c>
      <c r="F8" s="178">
        <f t="shared" si="2"/>
        <v>2413</v>
      </c>
      <c r="G8" s="178">
        <f t="shared" si="2"/>
        <v>2413</v>
      </c>
      <c r="H8" s="178">
        <f t="shared" si="2"/>
        <v>2413</v>
      </c>
      <c r="I8" s="178">
        <f t="shared" si="2"/>
        <v>2413</v>
      </c>
      <c r="J8" s="178">
        <f t="shared" si="2"/>
        <v>2413</v>
      </c>
      <c r="K8" s="178">
        <f t="shared" si="2"/>
        <v>2413</v>
      </c>
      <c r="L8" s="178">
        <f t="shared" si="2"/>
        <v>2413</v>
      </c>
      <c r="M8" s="178">
        <f t="shared" si="2"/>
        <v>2413</v>
      </c>
      <c r="N8" s="178">
        <f t="shared" si="2"/>
        <v>2413</v>
      </c>
      <c r="O8" s="178">
        <f t="shared" si="2"/>
        <v>2413</v>
      </c>
      <c r="P8" s="178">
        <f t="shared" si="2"/>
        <v>2413</v>
      </c>
      <c r="Q8" s="179">
        <f t="shared" si="2"/>
        <v>2413</v>
      </c>
      <c r="R8" s="118">
        <f t="shared" si="4"/>
        <v>28956</v>
      </c>
    </row>
    <row r="9" spans="2:19" x14ac:dyDescent="0.25">
      <c r="B9" s="180" t="s">
        <v>91</v>
      </c>
      <c r="C9" s="181">
        <v>5</v>
      </c>
      <c r="D9" s="182">
        <f>'REFERENČNÍ SPOTŘEBY'!Q129</f>
        <v>1302549.753</v>
      </c>
      <c r="E9" s="183">
        <f t="shared" si="3"/>
        <v>1302549.753</v>
      </c>
      <c r="F9" s="183">
        <f t="shared" si="2"/>
        <v>1302549.753</v>
      </c>
      <c r="G9" s="183">
        <f t="shared" si="2"/>
        <v>1302549.753</v>
      </c>
      <c r="H9" s="183">
        <f t="shared" si="2"/>
        <v>1302549.753</v>
      </c>
      <c r="I9" s="183">
        <f t="shared" si="2"/>
        <v>1302549.753</v>
      </c>
      <c r="J9" s="183">
        <f t="shared" si="2"/>
        <v>1302549.753</v>
      </c>
      <c r="K9" s="183">
        <f t="shared" si="2"/>
        <v>1302549.753</v>
      </c>
      <c r="L9" s="183">
        <f t="shared" si="2"/>
        <v>1302549.753</v>
      </c>
      <c r="M9" s="183">
        <f t="shared" si="2"/>
        <v>1302549.753</v>
      </c>
      <c r="N9" s="183">
        <f t="shared" si="2"/>
        <v>1302549.753</v>
      </c>
      <c r="O9" s="183">
        <f t="shared" si="2"/>
        <v>1302549.753</v>
      </c>
      <c r="P9" s="183">
        <f t="shared" si="2"/>
        <v>1302549.753</v>
      </c>
      <c r="Q9" s="184">
        <f t="shared" si="2"/>
        <v>1302549.753</v>
      </c>
      <c r="R9" s="118">
        <f t="shared" si="4"/>
        <v>15630597.036000004</v>
      </c>
    </row>
    <row r="10" spans="2:19" x14ac:dyDescent="0.25">
      <c r="B10" s="173" t="s">
        <v>92</v>
      </c>
      <c r="C10" s="174">
        <v>6</v>
      </c>
      <c r="D10" s="170">
        <f>'REFERENČNÍ SPOTŘEBY'!Z129</f>
        <v>563952.19927730667</v>
      </c>
      <c r="E10" s="171">
        <f t="shared" si="3"/>
        <v>563952.19927730667</v>
      </c>
      <c r="F10" s="171">
        <f t="shared" si="2"/>
        <v>563952.19927730667</v>
      </c>
      <c r="G10" s="171">
        <f t="shared" si="2"/>
        <v>563952.19927730667</v>
      </c>
      <c r="H10" s="171">
        <f t="shared" si="2"/>
        <v>563952.19927730667</v>
      </c>
      <c r="I10" s="171">
        <f t="shared" si="2"/>
        <v>563952.19927730667</v>
      </c>
      <c r="J10" s="171">
        <f t="shared" si="2"/>
        <v>563952.19927730667</v>
      </c>
      <c r="K10" s="171">
        <f t="shared" si="2"/>
        <v>563952.19927730667</v>
      </c>
      <c r="L10" s="171">
        <f t="shared" si="2"/>
        <v>563952.19927730667</v>
      </c>
      <c r="M10" s="171">
        <f t="shared" si="2"/>
        <v>563952.19927730667</v>
      </c>
      <c r="N10" s="171">
        <f t="shared" si="2"/>
        <v>563952.19927730667</v>
      </c>
      <c r="O10" s="171">
        <f t="shared" si="2"/>
        <v>563952.19927730667</v>
      </c>
      <c r="P10" s="171">
        <f t="shared" si="2"/>
        <v>563952.19927730667</v>
      </c>
      <c r="Q10" s="172">
        <f t="shared" si="2"/>
        <v>563952.19927730667</v>
      </c>
      <c r="R10" s="118">
        <f t="shared" si="4"/>
        <v>6767426.391327682</v>
      </c>
    </row>
    <row r="11" spans="2:19" x14ac:dyDescent="0.25">
      <c r="B11" s="173" t="s">
        <v>93</v>
      </c>
      <c r="C11" s="174">
        <v>7</v>
      </c>
      <c r="D11" s="170">
        <f>'REFERENČNÍ SPOTŘEBY'!K129</f>
        <v>1016589.1299999999</v>
      </c>
      <c r="E11" s="171">
        <f t="shared" si="3"/>
        <v>1016589.1299999999</v>
      </c>
      <c r="F11" s="171">
        <f t="shared" si="2"/>
        <v>1016589.1299999999</v>
      </c>
      <c r="G11" s="171">
        <f t="shared" si="2"/>
        <v>1016589.1299999999</v>
      </c>
      <c r="H11" s="171">
        <f t="shared" si="2"/>
        <v>1016589.1299999999</v>
      </c>
      <c r="I11" s="171">
        <f t="shared" si="2"/>
        <v>1016589.1299999999</v>
      </c>
      <c r="J11" s="171">
        <f t="shared" si="2"/>
        <v>1016589.1299999999</v>
      </c>
      <c r="K11" s="171">
        <f t="shared" si="2"/>
        <v>1016589.1299999999</v>
      </c>
      <c r="L11" s="171">
        <f t="shared" si="2"/>
        <v>1016589.1299999999</v>
      </c>
      <c r="M11" s="171">
        <f t="shared" si="2"/>
        <v>1016589.1299999999</v>
      </c>
      <c r="N11" s="171">
        <f t="shared" si="2"/>
        <v>1016589.1299999999</v>
      </c>
      <c r="O11" s="171">
        <f t="shared" si="2"/>
        <v>1016589.1299999999</v>
      </c>
      <c r="P11" s="171">
        <f t="shared" si="2"/>
        <v>1016589.1299999999</v>
      </c>
      <c r="Q11" s="172">
        <f t="shared" si="2"/>
        <v>1016589.1299999999</v>
      </c>
      <c r="R11" s="118">
        <f t="shared" si="4"/>
        <v>12199069.559999995</v>
      </c>
    </row>
    <row r="12" spans="2:19" x14ac:dyDescent="0.25">
      <c r="B12" s="173" t="s">
        <v>94</v>
      </c>
      <c r="C12" s="174">
        <v>8</v>
      </c>
      <c r="D12" s="170">
        <f>'REFERENČNÍ SPOTŘEBY'!AD129</f>
        <v>204954.74</v>
      </c>
      <c r="E12" s="171">
        <f t="shared" si="3"/>
        <v>204954.74</v>
      </c>
      <c r="F12" s="171">
        <f t="shared" si="2"/>
        <v>204954.74</v>
      </c>
      <c r="G12" s="171">
        <f t="shared" si="2"/>
        <v>204954.74</v>
      </c>
      <c r="H12" s="171">
        <f t="shared" si="2"/>
        <v>204954.74</v>
      </c>
      <c r="I12" s="171">
        <f t="shared" si="2"/>
        <v>204954.74</v>
      </c>
      <c r="J12" s="171">
        <f t="shared" si="2"/>
        <v>204954.74</v>
      </c>
      <c r="K12" s="171">
        <f t="shared" si="2"/>
        <v>204954.74</v>
      </c>
      <c r="L12" s="171">
        <f t="shared" si="2"/>
        <v>204954.74</v>
      </c>
      <c r="M12" s="171">
        <f t="shared" si="2"/>
        <v>204954.74</v>
      </c>
      <c r="N12" s="171">
        <f t="shared" si="2"/>
        <v>204954.74</v>
      </c>
      <c r="O12" s="171">
        <f t="shared" si="2"/>
        <v>204954.74</v>
      </c>
      <c r="P12" s="171">
        <f t="shared" si="2"/>
        <v>204954.74</v>
      </c>
      <c r="Q12" s="172">
        <f t="shared" si="2"/>
        <v>204954.74</v>
      </c>
      <c r="R12" s="118">
        <f t="shared" si="4"/>
        <v>2459456.88</v>
      </c>
    </row>
    <row r="13" spans="2:19" ht="15.75" thickBot="1" x14ac:dyDescent="0.3">
      <c r="B13" s="185" t="s">
        <v>95</v>
      </c>
      <c r="C13" s="176">
        <v>9</v>
      </c>
      <c r="D13" s="177">
        <f>'REFERENČNÍ SPOTŘEBY'!AG129</f>
        <v>0</v>
      </c>
      <c r="E13" s="178">
        <f t="shared" si="3"/>
        <v>0</v>
      </c>
      <c r="F13" s="178">
        <f t="shared" si="2"/>
        <v>0</v>
      </c>
      <c r="G13" s="178">
        <f t="shared" si="2"/>
        <v>0</v>
      </c>
      <c r="H13" s="178">
        <f t="shared" si="2"/>
        <v>0</v>
      </c>
      <c r="I13" s="178">
        <f t="shared" si="2"/>
        <v>0</v>
      </c>
      <c r="J13" s="178">
        <f t="shared" si="2"/>
        <v>0</v>
      </c>
      <c r="K13" s="178">
        <f t="shared" si="2"/>
        <v>0</v>
      </c>
      <c r="L13" s="178">
        <f t="shared" si="2"/>
        <v>0</v>
      </c>
      <c r="M13" s="178">
        <f t="shared" si="2"/>
        <v>0</v>
      </c>
      <c r="N13" s="178">
        <f t="shared" si="2"/>
        <v>0</v>
      </c>
      <c r="O13" s="178">
        <f t="shared" si="2"/>
        <v>0</v>
      </c>
      <c r="P13" s="178">
        <f t="shared" si="2"/>
        <v>0</v>
      </c>
      <c r="Q13" s="179">
        <f t="shared" si="2"/>
        <v>0</v>
      </c>
      <c r="R13" s="118">
        <f t="shared" si="4"/>
        <v>0</v>
      </c>
    </row>
    <row r="14" spans="2:19" ht="15.75" thickBot="1" x14ac:dyDescent="0.3">
      <c r="B14" s="186" t="s">
        <v>96</v>
      </c>
      <c r="C14" s="187" t="s">
        <v>97</v>
      </c>
      <c r="D14" s="188">
        <f>SUM(D9:D13)</f>
        <v>3088045.8222773066</v>
      </c>
      <c r="E14" s="189">
        <f t="shared" ref="E14:Q14" si="5">SUM(E9:E13)</f>
        <v>3088045.8222773066</v>
      </c>
      <c r="F14" s="188">
        <f t="shared" si="5"/>
        <v>3088045.8222773066</v>
      </c>
      <c r="G14" s="188">
        <f t="shared" si="5"/>
        <v>3088045.8222773066</v>
      </c>
      <c r="H14" s="188">
        <f t="shared" si="5"/>
        <v>3088045.8222773066</v>
      </c>
      <c r="I14" s="188">
        <f t="shared" si="5"/>
        <v>3088045.8222773066</v>
      </c>
      <c r="J14" s="188">
        <f t="shared" si="5"/>
        <v>3088045.8222773066</v>
      </c>
      <c r="K14" s="188">
        <f t="shared" si="5"/>
        <v>3088045.8222773066</v>
      </c>
      <c r="L14" s="188">
        <f t="shared" si="5"/>
        <v>3088045.8222773066</v>
      </c>
      <c r="M14" s="188">
        <f t="shared" ref="M14:N14" si="6">SUM(M9:M13)</f>
        <v>3088045.8222773066</v>
      </c>
      <c r="N14" s="188">
        <f t="shared" si="6"/>
        <v>3088045.8222773066</v>
      </c>
      <c r="O14" s="188">
        <f t="shared" si="5"/>
        <v>3088045.8222773066</v>
      </c>
      <c r="P14" s="188">
        <f t="shared" si="5"/>
        <v>3088045.8222773066</v>
      </c>
      <c r="Q14" s="190">
        <f t="shared" si="5"/>
        <v>3088045.8222773066</v>
      </c>
      <c r="R14" s="118">
        <f>SUM(F14:Q14)</f>
        <v>37056549.867327683</v>
      </c>
    </row>
    <row r="15" spans="2:19" ht="15.75" thickBot="1" x14ac:dyDescent="0.3"/>
    <row r="16" spans="2:19" x14ac:dyDescent="0.25">
      <c r="B16" s="521" t="s">
        <v>225</v>
      </c>
      <c r="C16" s="522"/>
      <c r="D16" s="522"/>
      <c r="E16" s="522"/>
      <c r="F16" s="522"/>
      <c r="G16" s="522"/>
      <c r="H16" s="522"/>
      <c r="I16" s="522"/>
      <c r="J16" s="522"/>
      <c r="K16" s="522"/>
      <c r="L16" s="522"/>
      <c r="M16" s="522"/>
      <c r="N16" s="522"/>
      <c r="O16" s="522"/>
      <c r="P16" s="522"/>
      <c r="Q16" s="523"/>
      <c r="R16" s="191" t="s">
        <v>98</v>
      </c>
      <c r="S16" s="191" t="s">
        <v>99</v>
      </c>
    </row>
    <row r="17" spans="1:21" x14ac:dyDescent="0.25">
      <c r="B17" s="192" t="s">
        <v>88</v>
      </c>
      <c r="C17" s="169">
        <f>C13+1</f>
        <v>10</v>
      </c>
      <c r="D17" s="193" t="s">
        <v>67</v>
      </c>
      <c r="E17" s="194">
        <f>E5</f>
        <v>604218.5</v>
      </c>
      <c r="F17" s="195"/>
      <c r="G17" s="195"/>
      <c r="H17" s="195"/>
      <c r="I17" s="195"/>
      <c r="J17" s="195"/>
      <c r="K17" s="195"/>
      <c r="L17" s="195"/>
      <c r="M17" s="196"/>
      <c r="N17" s="196"/>
      <c r="O17" s="196"/>
      <c r="P17" s="196"/>
      <c r="Q17" s="197"/>
      <c r="R17" s="118">
        <f>SUM(F17:Q17)</f>
        <v>0</v>
      </c>
      <c r="S17" s="118">
        <f t="shared" ref="S17:S26" si="7">R5-R17</f>
        <v>7250622</v>
      </c>
      <c r="T17" s="100" t="s">
        <v>2</v>
      </c>
      <c r="U17" s="198">
        <f>S17/R5</f>
        <v>1</v>
      </c>
    </row>
    <row r="18" spans="1:21" x14ac:dyDescent="0.25">
      <c r="B18" s="173" t="s">
        <v>89</v>
      </c>
      <c r="C18" s="199">
        <f t="shared" ref="C18:C25" si="8">C17+1</f>
        <v>11</v>
      </c>
      <c r="D18" s="200" t="s">
        <v>67</v>
      </c>
      <c r="E18" s="194">
        <f t="shared" ref="E18:E25" si="9">E6</f>
        <v>536503.71</v>
      </c>
      <c r="F18" s="195"/>
      <c r="G18" s="195"/>
      <c r="H18" s="195"/>
      <c r="I18" s="195"/>
      <c r="J18" s="195"/>
      <c r="K18" s="195"/>
      <c r="L18" s="195"/>
      <c r="M18" s="196"/>
      <c r="N18" s="196"/>
      <c r="O18" s="196"/>
      <c r="P18" s="196"/>
      <c r="Q18" s="197"/>
      <c r="R18" s="118">
        <f>SUM(F18:Q18)</f>
        <v>0</v>
      </c>
      <c r="S18" s="118">
        <f t="shared" si="7"/>
        <v>6438044.5199999996</v>
      </c>
      <c r="T18" s="100" t="s">
        <v>2</v>
      </c>
      <c r="U18" s="198">
        <f t="shared" ref="U18:U26" si="10">S18/R6</f>
        <v>1</v>
      </c>
    </row>
    <row r="19" spans="1:21" x14ac:dyDescent="0.25">
      <c r="B19" s="173" t="s">
        <v>145</v>
      </c>
      <c r="C19" s="199">
        <f t="shared" si="8"/>
        <v>12</v>
      </c>
      <c r="D19" s="200" t="s">
        <v>67</v>
      </c>
      <c r="E19" s="194">
        <f t="shared" si="9"/>
        <v>2199.6</v>
      </c>
      <c r="F19" s="195"/>
      <c r="G19" s="195"/>
      <c r="H19" s="195"/>
      <c r="I19" s="195"/>
      <c r="J19" s="195"/>
      <c r="K19" s="195"/>
      <c r="L19" s="195"/>
      <c r="M19" s="196"/>
      <c r="N19" s="196"/>
      <c r="O19" s="196"/>
      <c r="P19" s="196"/>
      <c r="Q19" s="197"/>
      <c r="R19" s="118">
        <f>SUM(F19:Q19)</f>
        <v>0</v>
      </c>
      <c r="S19" s="118">
        <f t="shared" si="7"/>
        <v>26395.199999999993</v>
      </c>
      <c r="T19" s="100" t="s">
        <v>0</v>
      </c>
      <c r="U19" s="198">
        <f t="shared" si="10"/>
        <v>1</v>
      </c>
    </row>
    <row r="20" spans="1:21" ht="15.75" thickBot="1" x14ac:dyDescent="0.3">
      <c r="B20" s="175" t="s">
        <v>90</v>
      </c>
      <c r="C20" s="201">
        <f t="shared" si="8"/>
        <v>13</v>
      </c>
      <c r="D20" s="202" t="s">
        <v>67</v>
      </c>
      <c r="E20" s="203">
        <f t="shared" si="9"/>
        <v>2413</v>
      </c>
      <c r="F20" s="204"/>
      <c r="G20" s="204"/>
      <c r="H20" s="204"/>
      <c r="I20" s="204"/>
      <c r="J20" s="204"/>
      <c r="K20" s="204"/>
      <c r="L20" s="204"/>
      <c r="M20" s="205"/>
      <c r="N20" s="205"/>
      <c r="O20" s="205"/>
      <c r="P20" s="205"/>
      <c r="Q20" s="206"/>
      <c r="R20" s="118">
        <f>SUM(F20:Q20)</f>
        <v>0</v>
      </c>
      <c r="S20" s="118">
        <f t="shared" si="7"/>
        <v>28956</v>
      </c>
      <c r="T20" s="100" t="s">
        <v>4</v>
      </c>
      <c r="U20" s="198">
        <f t="shared" si="10"/>
        <v>1</v>
      </c>
    </row>
    <row r="21" spans="1:21" x14ac:dyDescent="0.25">
      <c r="B21" s="180" t="s">
        <v>91</v>
      </c>
      <c r="C21" s="207">
        <f t="shared" si="8"/>
        <v>14</v>
      </c>
      <c r="D21" s="208" t="s">
        <v>67</v>
      </c>
      <c r="E21" s="209">
        <f t="shared" si="9"/>
        <v>1302549.753</v>
      </c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1"/>
      <c r="R21" s="118">
        <f>SUM(F21:Q21)</f>
        <v>0</v>
      </c>
      <c r="S21" s="118">
        <f t="shared" si="7"/>
        <v>15630597.036000004</v>
      </c>
      <c r="T21" s="100" t="s">
        <v>8</v>
      </c>
      <c r="U21" s="198">
        <f t="shared" si="10"/>
        <v>1</v>
      </c>
    </row>
    <row r="22" spans="1:21" x14ac:dyDescent="0.25">
      <c r="B22" s="173" t="s">
        <v>92</v>
      </c>
      <c r="C22" s="199">
        <f t="shared" si="8"/>
        <v>15</v>
      </c>
      <c r="D22" s="200" t="s">
        <v>67</v>
      </c>
      <c r="E22" s="194">
        <f t="shared" si="9"/>
        <v>563952.19927730667</v>
      </c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7"/>
      <c r="R22" s="118">
        <f t="shared" ref="R22:R26" si="11">SUM(F22:Q22)</f>
        <v>0</v>
      </c>
      <c r="S22" s="118">
        <f t="shared" si="7"/>
        <v>6767426.391327682</v>
      </c>
      <c r="T22" s="100" t="s">
        <v>8</v>
      </c>
      <c r="U22" s="198">
        <f t="shared" si="10"/>
        <v>1</v>
      </c>
    </row>
    <row r="23" spans="1:21" x14ac:dyDescent="0.25">
      <c r="B23" s="173" t="s">
        <v>93</v>
      </c>
      <c r="C23" s="199">
        <f t="shared" si="8"/>
        <v>16</v>
      </c>
      <c r="D23" s="200" t="s">
        <v>67</v>
      </c>
      <c r="E23" s="194">
        <f t="shared" si="9"/>
        <v>1016589.1299999999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7"/>
      <c r="R23" s="118">
        <f t="shared" si="11"/>
        <v>0</v>
      </c>
      <c r="S23" s="118">
        <f t="shared" si="7"/>
        <v>12199069.559999995</v>
      </c>
      <c r="T23" s="100" t="s">
        <v>8</v>
      </c>
      <c r="U23" s="198">
        <f t="shared" si="10"/>
        <v>1</v>
      </c>
    </row>
    <row r="24" spans="1:21" x14ac:dyDescent="0.25">
      <c r="B24" s="173" t="s">
        <v>94</v>
      </c>
      <c r="C24" s="199">
        <f t="shared" si="8"/>
        <v>17</v>
      </c>
      <c r="D24" s="200" t="s">
        <v>67</v>
      </c>
      <c r="E24" s="194">
        <f t="shared" si="9"/>
        <v>204954.74</v>
      </c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7"/>
      <c r="R24" s="118">
        <f t="shared" si="11"/>
        <v>0</v>
      </c>
      <c r="S24" s="118">
        <f t="shared" si="7"/>
        <v>2459456.88</v>
      </c>
      <c r="T24" s="100" t="s">
        <v>8</v>
      </c>
      <c r="U24" s="198">
        <f t="shared" si="10"/>
        <v>1</v>
      </c>
    </row>
    <row r="25" spans="1:21" ht="15.75" thickBot="1" x14ac:dyDescent="0.3">
      <c r="B25" s="185" t="s">
        <v>95</v>
      </c>
      <c r="C25" s="201">
        <f t="shared" si="8"/>
        <v>18</v>
      </c>
      <c r="D25" s="212" t="s">
        <v>67</v>
      </c>
      <c r="E25" s="203">
        <f t="shared" si="9"/>
        <v>0</v>
      </c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6"/>
      <c r="R25" s="118">
        <f t="shared" si="11"/>
        <v>0</v>
      </c>
      <c r="S25" s="118">
        <f t="shared" si="7"/>
        <v>0</v>
      </c>
      <c r="T25" s="100" t="s">
        <v>8</v>
      </c>
      <c r="U25" s="198"/>
    </row>
    <row r="26" spans="1:21" x14ac:dyDescent="0.25">
      <c r="B26" s="213" t="s">
        <v>100</v>
      </c>
      <c r="C26" s="214" t="s">
        <v>101</v>
      </c>
      <c r="D26" s="215"/>
      <c r="E26" s="216">
        <f t="shared" ref="E26:Q26" si="12">SUM(E21:E25)</f>
        <v>3088045.8222773066</v>
      </c>
      <c r="F26" s="217">
        <f t="shared" si="12"/>
        <v>0</v>
      </c>
      <c r="G26" s="217">
        <f t="shared" si="12"/>
        <v>0</v>
      </c>
      <c r="H26" s="217">
        <f t="shared" si="12"/>
        <v>0</v>
      </c>
      <c r="I26" s="217">
        <f t="shared" si="12"/>
        <v>0</v>
      </c>
      <c r="J26" s="217">
        <f t="shared" si="12"/>
        <v>0</v>
      </c>
      <c r="K26" s="217">
        <f t="shared" si="12"/>
        <v>0</v>
      </c>
      <c r="L26" s="217">
        <f t="shared" si="12"/>
        <v>0</v>
      </c>
      <c r="M26" s="217">
        <f t="shared" si="12"/>
        <v>0</v>
      </c>
      <c r="N26" s="217">
        <f t="shared" si="12"/>
        <v>0</v>
      </c>
      <c r="O26" s="217">
        <f t="shared" si="12"/>
        <v>0</v>
      </c>
      <c r="P26" s="217">
        <f t="shared" si="12"/>
        <v>0</v>
      </c>
      <c r="Q26" s="217">
        <f t="shared" si="12"/>
        <v>0</v>
      </c>
      <c r="R26" s="118">
        <f t="shared" si="11"/>
        <v>0</v>
      </c>
      <c r="S26" s="118">
        <f t="shared" si="7"/>
        <v>37056549.867327683</v>
      </c>
      <c r="T26" s="100" t="s">
        <v>8</v>
      </c>
      <c r="U26" s="198">
        <f t="shared" si="10"/>
        <v>1</v>
      </c>
    </row>
    <row r="27" spans="1:21" x14ac:dyDescent="0.25">
      <c r="B27" s="218"/>
      <c r="C27" s="219"/>
      <c r="D27" s="215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118"/>
    </row>
    <row r="28" spans="1:21" x14ac:dyDescent="0.25">
      <c r="A28" s="221"/>
      <c r="B28" s="519" t="s">
        <v>102</v>
      </c>
      <c r="C28" s="519"/>
      <c r="D28" s="519"/>
      <c r="E28" s="519"/>
      <c r="F28" s="519"/>
      <c r="G28" s="519"/>
      <c r="H28" s="519"/>
      <c r="I28" s="519"/>
      <c r="J28" s="519"/>
      <c r="K28" s="519"/>
      <c r="L28" s="519"/>
      <c r="M28" s="519"/>
      <c r="N28" s="519"/>
      <c r="O28" s="519"/>
      <c r="P28" s="519"/>
      <c r="Q28" s="519"/>
      <c r="R28" s="222"/>
      <c r="S28" s="221"/>
    </row>
    <row r="29" spans="1:21" x14ac:dyDescent="0.25">
      <c r="A29" s="221"/>
      <c r="B29" s="223" t="s">
        <v>103</v>
      </c>
      <c r="C29" s="319" t="s">
        <v>104</v>
      </c>
      <c r="D29" s="224"/>
      <c r="E29" s="225">
        <f>E14-E26</f>
        <v>0</v>
      </c>
      <c r="F29" s="225">
        <f>F14-F26</f>
        <v>3088045.8222773066</v>
      </c>
      <c r="G29" s="225">
        <f t="shared" ref="G29:Q29" si="13">G14-G26</f>
        <v>3088045.8222773066</v>
      </c>
      <c r="H29" s="225">
        <f t="shared" si="13"/>
        <v>3088045.8222773066</v>
      </c>
      <c r="I29" s="225">
        <f t="shared" si="13"/>
        <v>3088045.8222773066</v>
      </c>
      <c r="J29" s="225">
        <f t="shared" si="13"/>
        <v>3088045.8222773066</v>
      </c>
      <c r="K29" s="225">
        <f t="shared" si="13"/>
        <v>3088045.8222773066</v>
      </c>
      <c r="L29" s="225">
        <f t="shared" si="13"/>
        <v>3088045.8222773066</v>
      </c>
      <c r="M29" s="225">
        <f t="shared" si="13"/>
        <v>3088045.8222773066</v>
      </c>
      <c r="N29" s="225">
        <f t="shared" si="13"/>
        <v>3088045.8222773066</v>
      </c>
      <c r="O29" s="225">
        <f t="shared" si="13"/>
        <v>3088045.8222773066</v>
      </c>
      <c r="P29" s="225">
        <f t="shared" si="13"/>
        <v>3088045.8222773066</v>
      </c>
      <c r="Q29" s="225">
        <f t="shared" si="13"/>
        <v>3088045.8222773066</v>
      </c>
      <c r="R29" s="226">
        <f>SUM(F29:Q29)</f>
        <v>37056549.867327683</v>
      </c>
      <c r="S29" s="227" t="s">
        <v>152</v>
      </c>
    </row>
    <row r="30" spans="1:21" x14ac:dyDescent="0.25">
      <c r="B30" s="228"/>
      <c r="C30" s="229"/>
      <c r="D30" s="230"/>
      <c r="E30" s="231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118"/>
    </row>
    <row r="31" spans="1:21" x14ac:dyDescent="0.25">
      <c r="B31" s="524" t="s">
        <v>105</v>
      </c>
      <c r="C31" s="524"/>
      <c r="D31" s="524"/>
      <c r="E31" s="524"/>
      <c r="F31" s="524"/>
      <c r="G31" s="524"/>
      <c r="H31" s="524"/>
      <c r="I31" s="524"/>
      <c r="J31" s="524"/>
      <c r="K31" s="524"/>
      <c r="L31" s="524"/>
      <c r="M31" s="524"/>
      <c r="N31" s="524"/>
      <c r="O31" s="524"/>
      <c r="P31" s="524"/>
      <c r="Q31" s="524"/>
      <c r="R31" s="100"/>
    </row>
    <row r="32" spans="1:21" x14ac:dyDescent="0.25">
      <c r="B32" s="232" t="s">
        <v>223</v>
      </c>
      <c r="C32" s="214" t="s">
        <v>106</v>
      </c>
      <c r="D32" s="200" t="s">
        <v>67</v>
      </c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226">
        <f>SUM(E32:Q32)</f>
        <v>0</v>
      </c>
      <c r="S32" s="231" t="s">
        <v>153</v>
      </c>
      <c r="T32" s="233"/>
    </row>
    <row r="33" spans="2:20" x14ac:dyDescent="0.25">
      <c r="B33" s="234"/>
      <c r="C33" s="219"/>
      <c r="D33" s="235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316" t="str">
        <f>IF(R32='Investice a úspory'!D16,"OK","!")</f>
        <v>OK</v>
      </c>
      <c r="S33" s="237" t="s">
        <v>107</v>
      </c>
      <c r="T33" s="233"/>
    </row>
    <row r="34" spans="2:20" x14ac:dyDescent="0.25">
      <c r="B34" s="234"/>
      <c r="C34" s="219"/>
      <c r="D34" s="235"/>
      <c r="E34" s="236"/>
      <c r="F34" s="236"/>
      <c r="G34" s="236"/>
      <c r="H34" s="236"/>
      <c r="I34" s="236"/>
      <c r="J34" s="236"/>
      <c r="K34" s="236"/>
      <c r="L34" s="236"/>
      <c r="M34" s="236"/>
      <c r="N34" s="236"/>
      <c r="O34" s="236"/>
      <c r="P34" s="236"/>
      <c r="Q34" s="236"/>
      <c r="R34" s="238"/>
      <c r="T34" s="233"/>
    </row>
    <row r="35" spans="2:20" x14ac:dyDescent="0.25">
      <c r="B35" s="524" t="s">
        <v>108</v>
      </c>
      <c r="C35" s="524"/>
      <c r="D35" s="524"/>
      <c r="E35" s="524"/>
      <c r="F35" s="524"/>
      <c r="G35" s="524"/>
      <c r="H35" s="524"/>
      <c r="I35" s="524"/>
      <c r="J35" s="524"/>
      <c r="K35" s="524"/>
      <c r="L35" s="524"/>
      <c r="M35" s="524"/>
      <c r="N35" s="524"/>
      <c r="O35" s="524"/>
      <c r="P35" s="524"/>
      <c r="Q35" s="524"/>
      <c r="R35" s="239"/>
    </row>
    <row r="36" spans="2:20" x14ac:dyDescent="0.25">
      <c r="B36" s="240" t="s">
        <v>109</v>
      </c>
      <c r="C36" s="199">
        <f>C25+1</f>
        <v>19</v>
      </c>
      <c r="D36" s="235" t="s">
        <v>67</v>
      </c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226">
        <f>SUM(E36:Q36)</f>
        <v>0</v>
      </c>
      <c r="S36" s="241" t="s">
        <v>154</v>
      </c>
      <c r="T36" s="233"/>
    </row>
    <row r="37" spans="2:20" x14ac:dyDescent="0.25">
      <c r="B37" s="240" t="s">
        <v>110</v>
      </c>
      <c r="C37" s="199">
        <f>C36+1</f>
        <v>20</v>
      </c>
      <c r="D37" s="235" t="s">
        <v>67</v>
      </c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226">
        <f>SUM(E37:Q37)</f>
        <v>0</v>
      </c>
      <c r="S37" s="241" t="s">
        <v>234</v>
      </c>
    </row>
    <row r="38" spans="2:20" x14ac:dyDescent="0.25">
      <c r="B38" s="240" t="s">
        <v>111</v>
      </c>
      <c r="C38" s="199">
        <v>21</v>
      </c>
      <c r="D38" s="235" t="s">
        <v>67</v>
      </c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26">
        <f>SUM(E38:Q38)</f>
        <v>0</v>
      </c>
      <c r="S38" s="241" t="s">
        <v>235</v>
      </c>
    </row>
    <row r="39" spans="2:20" x14ac:dyDescent="0.25">
      <c r="B39" s="213" t="s">
        <v>146</v>
      </c>
      <c r="C39" s="214" t="s">
        <v>112</v>
      </c>
      <c r="D39" s="220"/>
      <c r="E39" s="243">
        <f t="shared" ref="E39:Q39" si="14">SUM(E36:E38)</f>
        <v>0</v>
      </c>
      <c r="F39" s="243">
        <f t="shared" si="14"/>
        <v>0</v>
      </c>
      <c r="G39" s="243">
        <f t="shared" si="14"/>
        <v>0</v>
      </c>
      <c r="H39" s="243">
        <f t="shared" si="14"/>
        <v>0</v>
      </c>
      <c r="I39" s="243">
        <f t="shared" si="14"/>
        <v>0</v>
      </c>
      <c r="J39" s="243">
        <f t="shared" si="14"/>
        <v>0</v>
      </c>
      <c r="K39" s="243">
        <f t="shared" si="14"/>
        <v>0</v>
      </c>
      <c r="L39" s="243">
        <f t="shared" si="14"/>
        <v>0</v>
      </c>
      <c r="M39" s="243">
        <f t="shared" si="14"/>
        <v>0</v>
      </c>
      <c r="N39" s="243">
        <f t="shared" si="14"/>
        <v>0</v>
      </c>
      <c r="O39" s="243">
        <f t="shared" si="14"/>
        <v>0</v>
      </c>
      <c r="P39" s="243">
        <f t="shared" si="14"/>
        <v>0</v>
      </c>
      <c r="Q39" s="243">
        <f t="shared" si="14"/>
        <v>0</v>
      </c>
      <c r="R39" s="118">
        <f>SUM(E39:Q39)</f>
        <v>0</v>
      </c>
    </row>
    <row r="40" spans="2:20" x14ac:dyDescent="0.25">
      <c r="B40" s="218"/>
      <c r="C40" s="219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118"/>
    </row>
    <row r="41" spans="2:20" x14ac:dyDescent="0.25">
      <c r="B41" s="519" t="s">
        <v>142</v>
      </c>
      <c r="C41" s="519"/>
      <c r="D41" s="519"/>
      <c r="E41" s="519"/>
      <c r="F41" s="519"/>
      <c r="G41" s="519"/>
      <c r="H41" s="519"/>
      <c r="I41" s="519"/>
      <c r="J41" s="519"/>
      <c r="K41" s="519"/>
      <c r="L41" s="519"/>
      <c r="M41" s="519"/>
      <c r="N41" s="519"/>
      <c r="O41" s="519"/>
      <c r="P41" s="519"/>
      <c r="Q41" s="519"/>
      <c r="R41" s="239"/>
    </row>
    <row r="42" spans="2:20" x14ac:dyDescent="0.25">
      <c r="B42" s="213" t="s">
        <v>150</v>
      </c>
      <c r="C42" s="214" t="s">
        <v>113</v>
      </c>
      <c r="D42" s="244"/>
      <c r="E42" s="245">
        <f>E32+E39</f>
        <v>0</v>
      </c>
      <c r="F42" s="245">
        <f t="shared" ref="F42:Q42" si="15">F32+F39</f>
        <v>0</v>
      </c>
      <c r="G42" s="245">
        <f t="shared" si="15"/>
        <v>0</v>
      </c>
      <c r="H42" s="245">
        <f t="shared" si="15"/>
        <v>0</v>
      </c>
      <c r="I42" s="245">
        <f t="shared" si="15"/>
        <v>0</v>
      </c>
      <c r="J42" s="245">
        <f t="shared" si="15"/>
        <v>0</v>
      </c>
      <c r="K42" s="245">
        <f t="shared" si="15"/>
        <v>0</v>
      </c>
      <c r="L42" s="245">
        <f t="shared" si="15"/>
        <v>0</v>
      </c>
      <c r="M42" s="245">
        <f t="shared" si="15"/>
        <v>0</v>
      </c>
      <c r="N42" s="245">
        <f t="shared" si="15"/>
        <v>0</v>
      </c>
      <c r="O42" s="245">
        <f t="shared" si="15"/>
        <v>0</v>
      </c>
      <c r="P42" s="245">
        <f t="shared" si="15"/>
        <v>0</v>
      </c>
      <c r="Q42" s="245">
        <f t="shared" si="15"/>
        <v>0</v>
      </c>
      <c r="R42" s="246">
        <f>SUM(E42:Q42)</f>
        <v>0</v>
      </c>
      <c r="S42" s="241" t="s">
        <v>155</v>
      </c>
    </row>
    <row r="43" spans="2:20" ht="8.25" customHeight="1" x14ac:dyDescent="0.25">
      <c r="B43" s="218"/>
      <c r="C43" s="219"/>
      <c r="D43" s="244"/>
      <c r="E43" s="244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S43" s="241"/>
    </row>
    <row r="44" spans="2:20" x14ac:dyDescent="0.25">
      <c r="B44" s="324"/>
    </row>
    <row r="45" spans="2:20" x14ac:dyDescent="0.25">
      <c r="B45" s="418" t="s">
        <v>232</v>
      </c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318"/>
      <c r="P45" s="318"/>
      <c r="Q45" s="318"/>
    </row>
    <row r="46" spans="2:20" x14ac:dyDescent="0.25">
      <c r="B46" s="240" t="s">
        <v>227</v>
      </c>
      <c r="C46" s="199">
        <v>22</v>
      </c>
      <c r="D46" s="235" t="s">
        <v>67</v>
      </c>
      <c r="E46" s="425" t="s">
        <v>33</v>
      </c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335">
        <f>SUM(F46:Q46)</f>
        <v>0</v>
      </c>
    </row>
    <row r="47" spans="2:20" x14ac:dyDescent="0.25">
      <c r="B47" s="213" t="s">
        <v>233</v>
      </c>
      <c r="C47" s="250" t="s">
        <v>114</v>
      </c>
      <c r="D47" s="235"/>
      <c r="E47" s="225" t="s">
        <v>33</v>
      </c>
      <c r="F47" s="334">
        <f t="shared" ref="F47:R47" si="16">IF(F29=0,0,F46/F29)</f>
        <v>0</v>
      </c>
      <c r="G47" s="334">
        <f t="shared" si="16"/>
        <v>0</v>
      </c>
      <c r="H47" s="334">
        <f t="shared" si="16"/>
        <v>0</v>
      </c>
      <c r="I47" s="334">
        <f t="shared" si="16"/>
        <v>0</v>
      </c>
      <c r="J47" s="334">
        <f t="shared" si="16"/>
        <v>0</v>
      </c>
      <c r="K47" s="334">
        <f t="shared" si="16"/>
        <v>0</v>
      </c>
      <c r="L47" s="334">
        <f t="shared" si="16"/>
        <v>0</v>
      </c>
      <c r="M47" s="334">
        <f t="shared" si="16"/>
        <v>0</v>
      </c>
      <c r="N47" s="334">
        <f t="shared" si="16"/>
        <v>0</v>
      </c>
      <c r="O47" s="334">
        <f t="shared" si="16"/>
        <v>0</v>
      </c>
      <c r="P47" s="334">
        <f t="shared" si="16"/>
        <v>0</v>
      </c>
      <c r="Q47" s="334">
        <f t="shared" si="16"/>
        <v>0</v>
      </c>
      <c r="R47" s="332">
        <f t="shared" si="16"/>
        <v>0</v>
      </c>
      <c r="S47" s="227" t="s">
        <v>228</v>
      </c>
    </row>
    <row r="48" spans="2:20" x14ac:dyDescent="0.25">
      <c r="B48" s="234"/>
      <c r="C48" s="219"/>
      <c r="D48" s="235"/>
      <c r="E48" s="236"/>
      <c r="F48" s="236"/>
      <c r="G48" s="236"/>
      <c r="H48" s="236"/>
      <c r="I48" s="236"/>
      <c r="J48" s="236"/>
      <c r="K48" s="236"/>
      <c r="L48" s="236"/>
      <c r="M48" s="236"/>
      <c r="N48" s="236"/>
      <c r="O48" s="236"/>
      <c r="P48" s="236"/>
      <c r="Q48" s="236"/>
    </row>
    <row r="49" spans="2:19" x14ac:dyDescent="0.25">
      <c r="B49" s="420" t="s">
        <v>230</v>
      </c>
      <c r="C49" s="420"/>
      <c r="D49" s="247"/>
      <c r="E49" s="247"/>
      <c r="H49" s="249"/>
      <c r="I49" s="249"/>
      <c r="J49" s="249"/>
      <c r="K49" s="249"/>
      <c r="L49" s="249"/>
      <c r="M49" s="249"/>
      <c r="N49" s="249"/>
      <c r="O49" s="249"/>
      <c r="P49" s="249"/>
      <c r="Q49" s="249"/>
    </row>
    <row r="50" spans="2:19" x14ac:dyDescent="0.25">
      <c r="B50" s="421" t="s">
        <v>229</v>
      </c>
      <c r="C50" s="422" t="s">
        <v>114</v>
      </c>
      <c r="D50" s="251"/>
      <c r="E50" s="419">
        <f>R42-R29</f>
        <v>-37056549.867327683</v>
      </c>
      <c r="F50" s="423" t="s">
        <v>151</v>
      </c>
    </row>
    <row r="51" spans="2:19" x14ac:dyDescent="0.25">
      <c r="B51" s="324"/>
      <c r="C51" s="252"/>
      <c r="D51" s="253"/>
      <c r="E51" s="333"/>
      <c r="F51" s="424" t="s">
        <v>115</v>
      </c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</row>
    <row r="52" spans="2:19" x14ac:dyDescent="0.25">
      <c r="B52" s="255"/>
      <c r="C52" s="252"/>
      <c r="D52" s="253"/>
      <c r="E52" s="253"/>
      <c r="F52" s="424" t="s">
        <v>116</v>
      </c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4"/>
      <c r="S52" s="248"/>
    </row>
    <row r="53" spans="2:19" x14ac:dyDescent="0.25">
      <c r="F53" s="330"/>
    </row>
  </sheetData>
  <mergeCells count="7">
    <mergeCell ref="B41:Q41"/>
    <mergeCell ref="R2:R3"/>
    <mergeCell ref="B4:Q4"/>
    <mergeCell ref="B16:Q16"/>
    <mergeCell ref="B28:Q28"/>
    <mergeCell ref="B31:Q31"/>
    <mergeCell ref="B35:Q35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B2:K32"/>
  <sheetViews>
    <sheetView workbookViewId="0">
      <selection activeCell="O10" sqref="O10"/>
    </sheetView>
  </sheetViews>
  <sheetFormatPr defaultRowHeight="15" x14ac:dyDescent="0.25"/>
  <cols>
    <col min="1" max="5" width="9.140625" style="256"/>
    <col min="6" max="6" width="13.28515625" style="256" customWidth="1"/>
    <col min="7" max="7" width="6.140625" style="256" customWidth="1"/>
    <col min="8" max="8" width="7.140625" style="256" customWidth="1"/>
    <col min="9" max="9" width="19.85546875" style="256" customWidth="1"/>
    <col min="10" max="10" width="3.7109375" style="256" customWidth="1"/>
    <col min="11" max="16384" width="9.140625" style="256"/>
  </cols>
  <sheetData>
    <row r="2" spans="2:10" ht="24.75" customHeight="1" x14ac:dyDescent="0.25">
      <c r="B2" s="525" t="s">
        <v>156</v>
      </c>
      <c r="C2" s="526"/>
      <c r="D2" s="526"/>
      <c r="E2" s="526"/>
      <c r="F2" s="526"/>
      <c r="G2" s="526"/>
      <c r="H2" s="526"/>
      <c r="I2" s="526"/>
      <c r="J2" s="527"/>
    </row>
    <row r="3" spans="2:10" ht="12.75" customHeight="1" x14ac:dyDescent="0.25"/>
    <row r="4" spans="2:10" x14ac:dyDescent="0.25">
      <c r="G4" s="289" t="s">
        <v>119</v>
      </c>
      <c r="H4" s="298">
        <v>0.21</v>
      </c>
      <c r="I4" s="297" t="s">
        <v>133</v>
      </c>
    </row>
    <row r="6" spans="2:10" x14ac:dyDescent="0.25">
      <c r="B6" s="528" t="s">
        <v>132</v>
      </c>
      <c r="C6" s="529"/>
      <c r="D6" s="529"/>
      <c r="E6" s="529"/>
      <c r="F6" s="529"/>
      <c r="G6" s="529"/>
      <c r="H6" s="529"/>
      <c r="I6" s="529"/>
      <c r="J6" s="530"/>
    </row>
    <row r="8" spans="2:10" x14ac:dyDescent="0.25">
      <c r="B8" s="269" t="s">
        <v>131</v>
      </c>
    </row>
    <row r="9" spans="2:10" ht="6.75" customHeight="1" x14ac:dyDescent="0.25">
      <c r="B9" s="296"/>
      <c r="C9" s="295"/>
      <c r="D9" s="263"/>
      <c r="E9" s="263"/>
      <c r="F9" s="263"/>
      <c r="G9" s="263"/>
      <c r="H9" s="263"/>
      <c r="I9" s="263"/>
      <c r="J9" s="263"/>
    </row>
    <row r="10" spans="2:10" x14ac:dyDescent="0.25">
      <c r="B10" s="282" t="s">
        <v>130</v>
      </c>
      <c r="C10" s="281"/>
      <c r="D10" s="281"/>
      <c r="E10" s="281"/>
      <c r="F10" s="281"/>
      <c r="G10" s="281"/>
      <c r="H10" s="281"/>
      <c r="I10" s="280">
        <f>'Modelová nabídka'!R32</f>
        <v>0</v>
      </c>
      <c r="J10" s="279" t="s">
        <v>117</v>
      </c>
    </row>
    <row r="11" spans="2:10" x14ac:dyDescent="0.25">
      <c r="B11" s="278" t="s">
        <v>18</v>
      </c>
      <c r="C11" s="276"/>
      <c r="D11" s="277"/>
      <c r="E11" s="277"/>
      <c r="F11" s="277"/>
      <c r="G11" s="277"/>
      <c r="H11" s="276">
        <f>H4</f>
        <v>0.21</v>
      </c>
      <c r="I11" s="275">
        <f>I10*H4</f>
        <v>0</v>
      </c>
      <c r="J11" s="274" t="s">
        <v>117</v>
      </c>
    </row>
    <row r="12" spans="2:10" x14ac:dyDescent="0.25">
      <c r="B12" s="273" t="s">
        <v>129</v>
      </c>
      <c r="C12" s="272"/>
      <c r="D12" s="272"/>
      <c r="E12" s="272"/>
      <c r="F12" s="272"/>
      <c r="G12" s="272"/>
      <c r="H12" s="272"/>
      <c r="I12" s="271">
        <f>I10+I11</f>
        <v>0</v>
      </c>
      <c r="J12" s="270" t="s">
        <v>117</v>
      </c>
    </row>
    <row r="13" spans="2:10" ht="7.5" customHeight="1" x14ac:dyDescent="0.25"/>
    <row r="16" spans="2:10" x14ac:dyDescent="0.25">
      <c r="B16" s="269" t="s">
        <v>128</v>
      </c>
    </row>
    <row r="17" spans="2:11" x14ac:dyDescent="0.25">
      <c r="B17" s="294" t="s">
        <v>127</v>
      </c>
      <c r="C17" s="293"/>
      <c r="D17" s="293"/>
      <c r="E17" s="293"/>
      <c r="F17" s="293"/>
      <c r="G17" s="293"/>
      <c r="H17" s="293"/>
      <c r="I17" s="292">
        <f>'Modelová nabídka'!R36</f>
        <v>0</v>
      </c>
      <c r="J17" s="291" t="s">
        <v>1</v>
      </c>
    </row>
    <row r="20" spans="2:11" x14ac:dyDescent="0.25">
      <c r="B20" s="1" t="s">
        <v>126</v>
      </c>
    </row>
    <row r="21" spans="2:11" ht="7.5" customHeight="1" x14ac:dyDescent="0.25">
      <c r="B21" s="290"/>
      <c r="C21" s="289"/>
    </row>
    <row r="22" spans="2:11" x14ac:dyDescent="0.25">
      <c r="B22" s="288" t="s">
        <v>125</v>
      </c>
      <c r="C22" s="267"/>
      <c r="D22" s="267"/>
      <c r="E22" s="267"/>
      <c r="F22" s="267"/>
      <c r="G22" s="267"/>
      <c r="H22" s="267"/>
      <c r="I22" s="287">
        <f>'Modelová nabídka'!R37</f>
        <v>0</v>
      </c>
      <c r="J22" s="286" t="s">
        <v>117</v>
      </c>
      <c r="K22" s="325"/>
    </row>
    <row r="23" spans="2:11" x14ac:dyDescent="0.25">
      <c r="B23" s="285" t="s">
        <v>124</v>
      </c>
      <c r="C23" s="259"/>
      <c r="D23" s="259"/>
      <c r="E23" s="259"/>
      <c r="F23" s="259"/>
      <c r="G23" s="259"/>
      <c r="H23" s="259"/>
      <c r="I23" s="284">
        <f>'Modelová nabídka'!R38</f>
        <v>0</v>
      </c>
      <c r="J23" s="283" t="s">
        <v>1</v>
      </c>
      <c r="K23" s="325"/>
    </row>
    <row r="24" spans="2:11" x14ac:dyDescent="0.25">
      <c r="B24" s="278" t="s">
        <v>123</v>
      </c>
      <c r="C24" s="277"/>
      <c r="D24" s="277"/>
      <c r="E24" s="277"/>
      <c r="F24" s="277"/>
      <c r="G24" s="277"/>
      <c r="H24" s="277"/>
      <c r="I24" s="275">
        <f>SUM(I22:I23)</f>
        <v>0</v>
      </c>
      <c r="J24" s="274" t="s">
        <v>117</v>
      </c>
    </row>
    <row r="25" spans="2:11" x14ac:dyDescent="0.25">
      <c r="B25" s="278" t="s">
        <v>18</v>
      </c>
      <c r="C25" s="277"/>
      <c r="D25" s="277"/>
      <c r="E25" s="277"/>
      <c r="F25" s="277"/>
      <c r="G25" s="277"/>
      <c r="H25" s="326">
        <f>H4</f>
        <v>0.21</v>
      </c>
      <c r="I25" s="275">
        <f>I24*H25</f>
        <v>0</v>
      </c>
      <c r="J25" s="274" t="s">
        <v>1</v>
      </c>
    </row>
    <row r="26" spans="2:11" x14ac:dyDescent="0.25">
      <c r="B26" s="273" t="s">
        <v>122</v>
      </c>
      <c r="C26" s="272"/>
      <c r="D26" s="272"/>
      <c r="E26" s="272"/>
      <c r="F26" s="272"/>
      <c r="G26" s="272"/>
      <c r="H26" s="272"/>
      <c r="I26" s="271">
        <f>I24+I25</f>
        <v>0</v>
      </c>
      <c r="J26" s="270" t="s">
        <v>1</v>
      </c>
    </row>
    <row r="29" spans="2:11" x14ac:dyDescent="0.25">
      <c r="B29" s="269" t="s">
        <v>121</v>
      </c>
    </row>
    <row r="30" spans="2:11" x14ac:dyDescent="0.25">
      <c r="B30" s="268" t="s">
        <v>120</v>
      </c>
      <c r="C30" s="267"/>
      <c r="D30" s="267"/>
      <c r="E30" s="267"/>
      <c r="F30" s="267"/>
      <c r="G30" s="267"/>
      <c r="H30" s="267"/>
      <c r="I30" s="266">
        <f>I10+I17+I24</f>
        <v>0</v>
      </c>
      <c r="J30" s="265" t="s">
        <v>117</v>
      </c>
    </row>
    <row r="31" spans="2:11" x14ac:dyDescent="0.25">
      <c r="B31" s="264" t="s">
        <v>18</v>
      </c>
      <c r="C31" s="263"/>
      <c r="D31" s="263"/>
      <c r="E31" s="263"/>
      <c r="F31" s="263"/>
      <c r="G31" s="263"/>
      <c r="H31" s="331">
        <f>H4</f>
        <v>0.21</v>
      </c>
      <c r="I31" s="262">
        <f>I11+I25</f>
        <v>0</v>
      </c>
      <c r="J31" s="261" t="s">
        <v>1</v>
      </c>
    </row>
    <row r="32" spans="2:11" x14ac:dyDescent="0.25">
      <c r="B32" s="260" t="s">
        <v>118</v>
      </c>
      <c r="C32" s="259"/>
      <c r="D32" s="259"/>
      <c r="E32" s="259"/>
      <c r="F32" s="259"/>
      <c r="G32" s="259"/>
      <c r="H32" s="259"/>
      <c r="I32" s="258">
        <f>I30+I31</f>
        <v>0</v>
      </c>
      <c r="J32" s="257" t="s">
        <v>117</v>
      </c>
    </row>
  </sheetData>
  <mergeCells count="2">
    <mergeCell ref="B2:J2"/>
    <mergeCell ref="B6:J6"/>
  </mergeCells>
  <pageMargins left="0.7" right="0.7" top="0.78740157499999996" bottom="0.78740157499999996" header="0.3" footer="0.3"/>
  <pageSetup paperSize="9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A1:L16"/>
  <sheetViews>
    <sheetView zoomScaleNormal="100" workbookViewId="0">
      <selection activeCell="M18" sqref="M18"/>
    </sheetView>
  </sheetViews>
  <sheetFormatPr defaultRowHeight="15" x14ac:dyDescent="0.25"/>
  <cols>
    <col min="1" max="1" width="4.7109375" style="256" customWidth="1"/>
    <col min="2" max="2" width="9.140625" style="256"/>
    <col min="3" max="3" width="57.140625" style="256" customWidth="1"/>
    <col min="4" max="4" width="1" style="256" customWidth="1"/>
    <col min="5" max="5" width="21.7109375" style="256" customWidth="1"/>
    <col min="6" max="6" width="9.140625" style="256"/>
    <col min="7" max="7" width="6.7109375" style="256" customWidth="1"/>
    <col min="8" max="8" width="4" style="256" customWidth="1"/>
    <col min="9" max="9" width="19.42578125" style="256" customWidth="1"/>
    <col min="10" max="10" width="4.7109375" style="256" customWidth="1"/>
    <col min="11" max="11" width="13.7109375" style="256" customWidth="1"/>
    <col min="12" max="12" width="9.140625" style="256"/>
    <col min="13" max="13" width="10.7109375" style="256" customWidth="1"/>
    <col min="14" max="16384" width="9.140625" style="256"/>
  </cols>
  <sheetData>
    <row r="1" spans="1:12" ht="11.25" customHeight="1" x14ac:dyDescent="0.25"/>
    <row r="2" spans="1:12" ht="20.25" customHeight="1" x14ac:dyDescent="0.35">
      <c r="B2" s="531" t="s">
        <v>139</v>
      </c>
      <c r="C2" s="532"/>
      <c r="D2" s="532"/>
      <c r="E2" s="532"/>
      <c r="F2" s="532"/>
      <c r="G2" s="532"/>
      <c r="H2" s="532"/>
      <c r="I2" s="532"/>
      <c r="J2" s="532"/>
      <c r="K2" s="533"/>
    </row>
    <row r="3" spans="1:12" ht="15.75" thickBot="1" x14ac:dyDescent="0.3">
      <c r="G3" s="311"/>
      <c r="L3" s="300"/>
    </row>
    <row r="4" spans="1:12" ht="15.75" thickBot="1" x14ac:dyDescent="0.3">
      <c r="A4" s="269">
        <v>1</v>
      </c>
      <c r="B4" s="269" t="s">
        <v>149</v>
      </c>
      <c r="C4" s="311"/>
      <c r="E4" s="314" t="s">
        <v>135</v>
      </c>
      <c r="F4" s="303"/>
      <c r="G4" s="309">
        <v>0.35</v>
      </c>
      <c r="I4" s="302" t="s">
        <v>134</v>
      </c>
      <c r="K4" s="301">
        <f>'Modelová nabídka'!R42</f>
        <v>0</v>
      </c>
      <c r="L4" s="300">
        <v>2</v>
      </c>
    </row>
    <row r="5" spans="1:12" x14ac:dyDescent="0.25">
      <c r="E5" s="314"/>
      <c r="F5" s="303"/>
      <c r="G5" s="299"/>
      <c r="I5" s="302"/>
      <c r="K5" s="315"/>
      <c r="L5" s="300"/>
    </row>
    <row r="6" spans="1:12" ht="15.75" thickBot="1" x14ac:dyDescent="0.3">
      <c r="B6" s="289"/>
      <c r="C6" s="305"/>
      <c r="E6" s="313"/>
      <c r="F6" s="303"/>
      <c r="G6" s="299"/>
      <c r="I6" s="302"/>
      <c r="J6" s="306"/>
      <c r="K6" s="312"/>
      <c r="L6" s="300"/>
    </row>
    <row r="7" spans="1:12" ht="15.75" thickBot="1" x14ac:dyDescent="0.3">
      <c r="A7" s="269">
        <v>2</v>
      </c>
      <c r="B7" s="269" t="s">
        <v>138</v>
      </c>
      <c r="E7" s="314" t="s">
        <v>135</v>
      </c>
      <c r="G7" s="309">
        <v>0.4</v>
      </c>
      <c r="I7" s="302" t="s">
        <v>134</v>
      </c>
      <c r="K7" s="301">
        <f>'Modelová nabídka'!R29</f>
        <v>37056549.867327683</v>
      </c>
      <c r="L7" s="300">
        <v>1</v>
      </c>
    </row>
    <row r="8" spans="1:12" x14ac:dyDescent="0.25">
      <c r="E8" s="314"/>
      <c r="F8" s="303"/>
      <c r="G8" s="299"/>
      <c r="I8" s="302"/>
      <c r="K8" s="315"/>
      <c r="L8" s="300"/>
    </row>
    <row r="9" spans="1:12" ht="15.75" thickBot="1" x14ac:dyDescent="0.3">
      <c r="E9" s="308"/>
      <c r="F9" s="303"/>
      <c r="G9" s="299"/>
      <c r="I9" s="302"/>
      <c r="K9" s="307"/>
      <c r="L9" s="300"/>
    </row>
    <row r="10" spans="1:12" ht="15.75" thickBot="1" x14ac:dyDescent="0.3">
      <c r="A10" s="269">
        <v>3</v>
      </c>
      <c r="B10" s="269" t="s">
        <v>137</v>
      </c>
      <c r="C10" s="311"/>
      <c r="D10" s="311"/>
      <c r="E10" s="314" t="s">
        <v>135</v>
      </c>
      <c r="F10" s="303"/>
      <c r="G10" s="309">
        <v>0.15</v>
      </c>
      <c r="I10" s="302" t="s">
        <v>134</v>
      </c>
      <c r="J10" s="534"/>
      <c r="K10" s="301">
        <f>'Modelová nabídka'!R32</f>
        <v>0</v>
      </c>
      <c r="L10" s="300">
        <v>3</v>
      </c>
    </row>
    <row r="11" spans="1:12" x14ac:dyDescent="0.25">
      <c r="A11" s="269"/>
      <c r="B11" s="269"/>
      <c r="C11" s="311"/>
      <c r="D11" s="311"/>
      <c r="E11" s="310"/>
      <c r="F11" s="303"/>
      <c r="G11" s="309"/>
      <c r="I11" s="302"/>
      <c r="J11" s="534"/>
      <c r="K11" s="307"/>
      <c r="L11" s="300"/>
    </row>
    <row r="12" spans="1:12" ht="15.75" thickBot="1" x14ac:dyDescent="0.3">
      <c r="A12" s="269"/>
      <c r="B12" s="269"/>
      <c r="C12" s="311"/>
      <c r="D12" s="311"/>
      <c r="E12" s="310"/>
      <c r="F12" s="303"/>
      <c r="G12" s="309"/>
      <c r="I12" s="302"/>
      <c r="J12" s="534"/>
      <c r="K12" s="307"/>
      <c r="L12" s="300"/>
    </row>
    <row r="13" spans="1:12" ht="15.75" thickBot="1" x14ac:dyDescent="0.3">
      <c r="A13" s="269">
        <v>4</v>
      </c>
      <c r="B13" s="535" t="s">
        <v>231</v>
      </c>
      <c r="C13" s="535"/>
      <c r="D13" s="311"/>
      <c r="E13" s="304" t="s">
        <v>136</v>
      </c>
      <c r="F13" s="303"/>
      <c r="G13" s="309">
        <v>0.1</v>
      </c>
      <c r="I13" s="302" t="s">
        <v>134</v>
      </c>
      <c r="J13" s="534"/>
      <c r="K13" s="336">
        <f>'Modelová nabídka'!R47</f>
        <v>0</v>
      </c>
      <c r="L13" s="300">
        <v>4</v>
      </c>
    </row>
    <row r="14" spans="1:12" x14ac:dyDescent="0.25">
      <c r="A14" s="269"/>
      <c r="B14" s="535"/>
      <c r="C14" s="535"/>
      <c r="D14" s="311"/>
      <c r="E14" s="310"/>
      <c r="F14" s="303"/>
      <c r="G14" s="309"/>
      <c r="I14" s="302"/>
      <c r="J14" s="534"/>
      <c r="K14" s="307"/>
    </row>
    <row r="15" spans="1:12" x14ac:dyDescent="0.25">
      <c r="A15" s="269"/>
      <c r="B15" s="269"/>
      <c r="C15" s="311"/>
      <c r="D15" s="311"/>
      <c r="E15" s="310"/>
      <c r="F15" s="303"/>
      <c r="G15" s="309"/>
      <c r="I15" s="302"/>
      <c r="J15" s="534"/>
      <c r="K15" s="307"/>
    </row>
    <row r="16" spans="1:12" x14ac:dyDescent="0.25">
      <c r="A16" s="269"/>
      <c r="B16" s="269"/>
      <c r="C16" s="311"/>
      <c r="D16" s="311"/>
      <c r="E16" s="310"/>
      <c r="F16" s="303"/>
      <c r="G16" s="309"/>
      <c r="I16" s="302"/>
      <c r="J16" s="534"/>
      <c r="K16" s="307"/>
    </row>
  </sheetData>
  <mergeCells count="3">
    <mergeCell ref="B2:K2"/>
    <mergeCell ref="J10:J16"/>
    <mergeCell ref="B13:C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X61"/>
  <sheetViews>
    <sheetView zoomScaleNormal="100" workbookViewId="0">
      <pane ySplit="4" topLeftCell="A23" activePane="bottomLeft" state="frozen"/>
      <selection pane="bottomLeft" activeCell="H58" sqref="H58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hidden="1" customWidth="1" outlineLevel="1"/>
    <col min="16" max="16" width="12.7109375" style="40" customWidth="1" collapsed="1"/>
    <col min="17" max="17" width="3.28515625" style="42" customWidth="1"/>
    <col min="18" max="18" width="14" style="40" customWidth="1"/>
    <col min="19" max="19" width="15" style="40" hidden="1" customWidth="1" outlineLevel="1"/>
    <col min="20" max="20" width="14" style="40" customWidth="1" collapsed="1"/>
    <col min="21" max="21" width="3.28515625" style="42" customWidth="1"/>
    <col min="22" max="265" width="10.140625" style="40"/>
    <col min="266" max="278" width="14" style="40" customWidth="1"/>
    <col min="279" max="521" width="10.140625" style="40"/>
    <col min="522" max="534" width="14" style="40" customWidth="1"/>
    <col min="535" max="777" width="10.140625" style="40"/>
    <col min="778" max="790" width="14" style="40" customWidth="1"/>
    <col min="791" max="1033" width="10.140625" style="40"/>
    <col min="1034" max="1046" width="14" style="40" customWidth="1"/>
    <col min="1047" max="1289" width="10.140625" style="40"/>
    <col min="1290" max="1302" width="14" style="40" customWidth="1"/>
    <col min="1303" max="1545" width="10.140625" style="40"/>
    <col min="1546" max="1558" width="14" style="40" customWidth="1"/>
    <col min="1559" max="1801" width="10.140625" style="40"/>
    <col min="1802" max="1814" width="14" style="40" customWidth="1"/>
    <col min="1815" max="2057" width="10.140625" style="40"/>
    <col min="2058" max="2070" width="14" style="40" customWidth="1"/>
    <col min="2071" max="2313" width="10.140625" style="40"/>
    <col min="2314" max="2326" width="14" style="40" customWidth="1"/>
    <col min="2327" max="2569" width="10.140625" style="40"/>
    <col min="2570" max="2582" width="14" style="40" customWidth="1"/>
    <col min="2583" max="2825" width="10.140625" style="40"/>
    <col min="2826" max="2838" width="14" style="40" customWidth="1"/>
    <col min="2839" max="3081" width="10.140625" style="40"/>
    <col min="3082" max="3094" width="14" style="40" customWidth="1"/>
    <col min="3095" max="3337" width="10.140625" style="40"/>
    <col min="3338" max="3350" width="14" style="40" customWidth="1"/>
    <col min="3351" max="3593" width="10.140625" style="40"/>
    <col min="3594" max="3606" width="14" style="40" customWidth="1"/>
    <col min="3607" max="3849" width="10.140625" style="40"/>
    <col min="3850" max="3862" width="14" style="40" customWidth="1"/>
    <col min="3863" max="4105" width="10.140625" style="40"/>
    <col min="4106" max="4118" width="14" style="40" customWidth="1"/>
    <col min="4119" max="4361" width="10.140625" style="40"/>
    <col min="4362" max="4374" width="14" style="40" customWidth="1"/>
    <col min="4375" max="4617" width="10.140625" style="40"/>
    <col min="4618" max="4630" width="14" style="40" customWidth="1"/>
    <col min="4631" max="4873" width="10.140625" style="40"/>
    <col min="4874" max="4886" width="14" style="40" customWidth="1"/>
    <col min="4887" max="5129" width="10.140625" style="40"/>
    <col min="5130" max="5142" width="14" style="40" customWidth="1"/>
    <col min="5143" max="5385" width="10.140625" style="40"/>
    <col min="5386" max="5398" width="14" style="40" customWidth="1"/>
    <col min="5399" max="5641" width="10.140625" style="40"/>
    <col min="5642" max="5654" width="14" style="40" customWidth="1"/>
    <col min="5655" max="5897" width="10.140625" style="40"/>
    <col min="5898" max="5910" width="14" style="40" customWidth="1"/>
    <col min="5911" max="6153" width="10.140625" style="40"/>
    <col min="6154" max="6166" width="14" style="40" customWidth="1"/>
    <col min="6167" max="6409" width="10.140625" style="40"/>
    <col min="6410" max="6422" width="14" style="40" customWidth="1"/>
    <col min="6423" max="6665" width="10.140625" style="40"/>
    <col min="6666" max="6678" width="14" style="40" customWidth="1"/>
    <col min="6679" max="6921" width="10.140625" style="40"/>
    <col min="6922" max="6934" width="14" style="40" customWidth="1"/>
    <col min="6935" max="7177" width="10.140625" style="40"/>
    <col min="7178" max="7190" width="14" style="40" customWidth="1"/>
    <col min="7191" max="7433" width="10.140625" style="40"/>
    <col min="7434" max="7446" width="14" style="40" customWidth="1"/>
    <col min="7447" max="7689" width="10.140625" style="40"/>
    <col min="7690" max="7702" width="14" style="40" customWidth="1"/>
    <col min="7703" max="7945" width="10.140625" style="40"/>
    <col min="7946" max="7958" width="14" style="40" customWidth="1"/>
    <col min="7959" max="8201" width="10.140625" style="40"/>
    <col min="8202" max="8214" width="14" style="40" customWidth="1"/>
    <col min="8215" max="8457" width="10.140625" style="40"/>
    <col min="8458" max="8470" width="14" style="40" customWidth="1"/>
    <col min="8471" max="8713" width="10.140625" style="40"/>
    <col min="8714" max="8726" width="14" style="40" customWidth="1"/>
    <col min="8727" max="8969" width="10.140625" style="40"/>
    <col min="8970" max="8982" width="14" style="40" customWidth="1"/>
    <col min="8983" max="9225" width="10.140625" style="40"/>
    <col min="9226" max="9238" width="14" style="40" customWidth="1"/>
    <col min="9239" max="9481" width="10.140625" style="40"/>
    <col min="9482" max="9494" width="14" style="40" customWidth="1"/>
    <col min="9495" max="9737" width="10.140625" style="40"/>
    <col min="9738" max="9750" width="14" style="40" customWidth="1"/>
    <col min="9751" max="9993" width="10.140625" style="40"/>
    <col min="9994" max="10006" width="14" style="40" customWidth="1"/>
    <col min="10007" max="10249" width="10.140625" style="40"/>
    <col min="10250" max="10262" width="14" style="40" customWidth="1"/>
    <col min="10263" max="10505" width="10.140625" style="40"/>
    <col min="10506" max="10518" width="14" style="40" customWidth="1"/>
    <col min="10519" max="10761" width="10.140625" style="40"/>
    <col min="10762" max="10774" width="14" style="40" customWidth="1"/>
    <col min="10775" max="11017" width="10.140625" style="40"/>
    <col min="11018" max="11030" width="14" style="40" customWidth="1"/>
    <col min="11031" max="11273" width="10.140625" style="40"/>
    <col min="11274" max="11286" width="14" style="40" customWidth="1"/>
    <col min="11287" max="11529" width="10.140625" style="40"/>
    <col min="11530" max="11542" width="14" style="40" customWidth="1"/>
    <col min="11543" max="11785" width="10.140625" style="40"/>
    <col min="11786" max="11798" width="14" style="40" customWidth="1"/>
    <col min="11799" max="12041" width="10.140625" style="40"/>
    <col min="12042" max="12054" width="14" style="40" customWidth="1"/>
    <col min="12055" max="12297" width="10.140625" style="40"/>
    <col min="12298" max="12310" width="14" style="40" customWidth="1"/>
    <col min="12311" max="12553" width="10.140625" style="40"/>
    <col min="12554" max="12566" width="14" style="40" customWidth="1"/>
    <col min="12567" max="12809" width="10.140625" style="40"/>
    <col min="12810" max="12822" width="14" style="40" customWidth="1"/>
    <col min="12823" max="13065" width="10.140625" style="40"/>
    <col min="13066" max="13078" width="14" style="40" customWidth="1"/>
    <col min="13079" max="13321" width="10.140625" style="40"/>
    <col min="13322" max="13334" width="14" style="40" customWidth="1"/>
    <col min="13335" max="13577" width="10.140625" style="40"/>
    <col min="13578" max="13590" width="14" style="40" customWidth="1"/>
    <col min="13591" max="13833" width="10.140625" style="40"/>
    <col min="13834" max="13846" width="14" style="40" customWidth="1"/>
    <col min="13847" max="14089" width="10.140625" style="40"/>
    <col min="14090" max="14102" width="14" style="40" customWidth="1"/>
    <col min="14103" max="14345" width="10.140625" style="40"/>
    <col min="14346" max="14358" width="14" style="40" customWidth="1"/>
    <col min="14359" max="14601" width="10.140625" style="40"/>
    <col min="14602" max="14614" width="14" style="40" customWidth="1"/>
    <col min="14615" max="14857" width="10.140625" style="40"/>
    <col min="14858" max="14870" width="14" style="40" customWidth="1"/>
    <col min="14871" max="15113" width="10.140625" style="40"/>
    <col min="15114" max="15126" width="14" style="40" customWidth="1"/>
    <col min="15127" max="15369" width="10.140625" style="40"/>
    <col min="15370" max="15382" width="14" style="40" customWidth="1"/>
    <col min="15383" max="15625" width="10.140625" style="40"/>
    <col min="15626" max="15638" width="14" style="40" customWidth="1"/>
    <col min="15639" max="15881" width="10.140625" style="40"/>
    <col min="15882" max="15894" width="14" style="40" customWidth="1"/>
    <col min="15895" max="16137" width="10.140625" style="40"/>
    <col min="16138" max="16150" width="14" style="40" customWidth="1"/>
    <col min="16151" max="16384" width="10.140625" style="40"/>
  </cols>
  <sheetData>
    <row r="1" spans="2:24" ht="4.5" customHeight="1" x14ac:dyDescent="0.25"/>
    <row r="2" spans="2:24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52"/>
      <c r="U2" s="40"/>
      <c r="V2" s="453" t="s">
        <v>11</v>
      </c>
      <c r="W2" s="453"/>
      <c r="X2" s="453"/>
    </row>
    <row r="3" spans="2:24" ht="15" customHeight="1" x14ac:dyDescent="0.25">
      <c r="B3" s="45" t="str">
        <f ca="1">MID(CELL("filename",A8),FIND("]",CELL("filename",A8))+1,LEN(CELL("filename",A8))-FIND("]",CELL("filename",A8)))</f>
        <v>01 ZŠ J. Vohradského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56"/>
      <c r="U3" s="40"/>
      <c r="V3" s="457" t="s">
        <v>3</v>
      </c>
      <c r="W3" s="457"/>
      <c r="X3" s="457"/>
    </row>
    <row r="4" spans="2:24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163</v>
      </c>
      <c r="P4" s="36" t="s">
        <v>8</v>
      </c>
      <c r="Q4" s="48"/>
      <c r="R4" s="327" t="s">
        <v>14</v>
      </c>
      <c r="S4" s="359" t="s">
        <v>164</v>
      </c>
      <c r="T4" s="37" t="s">
        <v>8</v>
      </c>
      <c r="U4" s="40"/>
      <c r="V4" s="38" t="s">
        <v>2</v>
      </c>
      <c r="W4" s="38" t="s">
        <v>14</v>
      </c>
      <c r="X4" s="39" t="s">
        <v>8</v>
      </c>
    </row>
    <row r="5" spans="2:24" ht="4.5" customHeight="1" x14ac:dyDescent="0.25">
      <c r="D5" s="63"/>
      <c r="E5" s="79"/>
      <c r="F5" s="41"/>
      <c r="G5" s="41"/>
    </row>
    <row r="6" spans="2:24" x14ac:dyDescent="0.25">
      <c r="B6" s="41"/>
      <c r="C6" s="41"/>
      <c r="D6" s="49" t="s">
        <v>19</v>
      </c>
      <c r="E6" s="68"/>
      <c r="F6" s="411"/>
      <c r="G6" s="344"/>
      <c r="H6" s="433">
        <v>1436.4</v>
      </c>
      <c r="I6" s="340"/>
      <c r="J6" s="340"/>
      <c r="K6" s="340"/>
      <c r="L6" s="342"/>
      <c r="M6" s="50"/>
      <c r="N6" s="433">
        <f t="shared" ref="N6:N9" si="0">+O6</f>
        <v>13488</v>
      </c>
      <c r="O6" s="431">
        <v>13488</v>
      </c>
      <c r="P6" s="342"/>
      <c r="Q6" s="69"/>
      <c r="R6" s="433">
        <f>+S6</f>
        <v>754</v>
      </c>
      <c r="S6" s="433">
        <v>754</v>
      </c>
      <c r="T6" s="429">
        <v>60008.54</v>
      </c>
      <c r="U6" s="70"/>
      <c r="V6" s="343"/>
      <c r="W6" s="344"/>
      <c r="X6" s="342"/>
    </row>
    <row r="7" spans="2:24" x14ac:dyDescent="0.25">
      <c r="B7" s="41"/>
      <c r="C7" s="41"/>
      <c r="D7" s="49" t="s">
        <v>20</v>
      </c>
      <c r="E7" s="68"/>
      <c r="F7" s="71"/>
      <c r="G7" s="72"/>
      <c r="H7" s="433"/>
      <c r="I7" s="322"/>
      <c r="J7" s="322"/>
      <c r="K7" s="322"/>
      <c r="L7" s="320"/>
      <c r="M7" s="50"/>
      <c r="N7" s="433"/>
      <c r="O7" s="431"/>
      <c r="P7" s="320"/>
      <c r="Q7" s="69"/>
      <c r="R7" s="433"/>
      <c r="S7" s="433"/>
      <c r="T7" s="429"/>
      <c r="U7" s="69"/>
      <c r="V7" s="71"/>
      <c r="W7" s="72"/>
      <c r="X7" s="320"/>
    </row>
    <row r="8" spans="2:24" x14ac:dyDescent="0.25">
      <c r="B8" s="41"/>
      <c r="C8" s="41"/>
      <c r="D8" s="49" t="s">
        <v>21</v>
      </c>
      <c r="E8" s="68"/>
      <c r="F8" s="71"/>
      <c r="G8" s="72"/>
      <c r="H8" s="433"/>
      <c r="I8" s="322"/>
      <c r="J8" s="322"/>
      <c r="K8" s="322"/>
      <c r="L8" s="320"/>
      <c r="M8" s="50"/>
      <c r="N8" s="434"/>
      <c r="O8" s="432"/>
      <c r="P8" s="320"/>
      <c r="Q8" s="69"/>
      <c r="R8" s="433"/>
      <c r="S8" s="433"/>
      <c r="T8" s="429"/>
      <c r="U8" s="69"/>
      <c r="V8" s="71"/>
      <c r="W8" s="72"/>
      <c r="X8" s="320"/>
    </row>
    <row r="9" spans="2:24" x14ac:dyDescent="0.25">
      <c r="B9" s="41"/>
      <c r="C9" s="41"/>
      <c r="D9" s="49" t="s">
        <v>22</v>
      </c>
      <c r="E9" s="68"/>
      <c r="F9" s="71"/>
      <c r="G9" s="72"/>
      <c r="H9" s="433"/>
      <c r="I9" s="322"/>
      <c r="J9" s="322"/>
      <c r="K9" s="322"/>
      <c r="L9" s="320"/>
      <c r="M9" s="50"/>
      <c r="N9" s="439">
        <f t="shared" si="0"/>
        <v>32319</v>
      </c>
      <c r="O9" s="436">
        <f>43092*COUNTA(D9:D17)/12</f>
        <v>32319</v>
      </c>
      <c r="P9" s="320"/>
      <c r="Q9" s="69"/>
      <c r="R9" s="433"/>
      <c r="S9" s="433"/>
      <c r="T9" s="429"/>
      <c r="U9" s="69"/>
      <c r="V9" s="71"/>
      <c r="W9" s="72"/>
      <c r="X9" s="320"/>
    </row>
    <row r="10" spans="2:24" x14ac:dyDescent="0.25">
      <c r="B10" s="41"/>
      <c r="C10" s="41"/>
      <c r="D10" s="49" t="s">
        <v>23</v>
      </c>
      <c r="E10" s="68"/>
      <c r="F10" s="71"/>
      <c r="G10" s="72"/>
      <c r="H10" s="433"/>
      <c r="I10" s="322"/>
      <c r="J10" s="322"/>
      <c r="K10" s="322"/>
      <c r="L10" s="320"/>
      <c r="M10" s="50"/>
      <c r="N10" s="440"/>
      <c r="O10" s="437"/>
      <c r="P10" s="320"/>
      <c r="Q10" s="69"/>
      <c r="R10" s="433"/>
      <c r="S10" s="433"/>
      <c r="T10" s="429"/>
      <c r="U10" s="69"/>
      <c r="V10" s="71"/>
      <c r="W10" s="72"/>
      <c r="X10" s="320"/>
    </row>
    <row r="11" spans="2:24" x14ac:dyDescent="0.25">
      <c r="B11" s="41"/>
      <c r="C11" s="41"/>
      <c r="D11" s="49" t="s">
        <v>24</v>
      </c>
      <c r="E11" s="68"/>
      <c r="F11" s="71"/>
      <c r="G11" s="72"/>
      <c r="H11" s="433"/>
      <c r="I11" s="322"/>
      <c r="J11" s="322"/>
      <c r="K11" s="322"/>
      <c r="L11" s="320"/>
      <c r="M11" s="50"/>
      <c r="N11" s="440"/>
      <c r="O11" s="437"/>
      <c r="P11" s="320"/>
      <c r="Q11" s="69"/>
      <c r="R11" s="433"/>
      <c r="S11" s="433"/>
      <c r="T11" s="429"/>
      <c r="U11" s="69"/>
      <c r="V11" s="71"/>
      <c r="W11" s="72"/>
      <c r="X11" s="320"/>
    </row>
    <row r="12" spans="2:24" x14ac:dyDescent="0.25">
      <c r="B12" s="41"/>
      <c r="C12" s="41"/>
      <c r="D12" s="49" t="s">
        <v>25</v>
      </c>
      <c r="E12" s="68"/>
      <c r="F12" s="71"/>
      <c r="G12" s="72"/>
      <c r="H12" s="433"/>
      <c r="I12" s="322"/>
      <c r="J12" s="322"/>
      <c r="K12" s="322"/>
      <c r="L12" s="320"/>
      <c r="M12" s="50"/>
      <c r="N12" s="440"/>
      <c r="O12" s="437"/>
      <c r="P12" s="320"/>
      <c r="Q12" s="69"/>
      <c r="R12" s="433"/>
      <c r="S12" s="433"/>
      <c r="T12" s="429"/>
      <c r="U12" s="69"/>
      <c r="V12" s="71"/>
      <c r="W12" s="72"/>
      <c r="X12" s="320"/>
    </row>
    <row r="13" spans="2:24" x14ac:dyDescent="0.25">
      <c r="B13" s="41"/>
      <c r="C13" s="41"/>
      <c r="D13" s="49" t="s">
        <v>26</v>
      </c>
      <c r="E13" s="68"/>
      <c r="F13" s="71"/>
      <c r="G13" s="72"/>
      <c r="H13" s="433"/>
      <c r="I13" s="322"/>
      <c r="J13" s="322"/>
      <c r="K13" s="322"/>
      <c r="L13" s="320"/>
      <c r="M13" s="50"/>
      <c r="N13" s="440"/>
      <c r="O13" s="437"/>
      <c r="P13" s="320"/>
      <c r="Q13" s="69"/>
      <c r="R13" s="433"/>
      <c r="S13" s="433"/>
      <c r="T13" s="429"/>
      <c r="U13" s="69"/>
      <c r="V13" s="71"/>
      <c r="W13" s="72"/>
      <c r="X13" s="320"/>
    </row>
    <row r="14" spans="2:24" x14ac:dyDescent="0.25">
      <c r="B14" s="41"/>
      <c r="C14" s="41"/>
      <c r="D14" s="49" t="s">
        <v>27</v>
      </c>
      <c r="E14" s="68"/>
      <c r="F14" s="71"/>
      <c r="G14" s="72"/>
      <c r="H14" s="433"/>
      <c r="I14" s="322"/>
      <c r="J14" s="322"/>
      <c r="K14" s="322"/>
      <c r="L14" s="320"/>
      <c r="M14" s="50"/>
      <c r="N14" s="440"/>
      <c r="O14" s="437"/>
      <c r="P14" s="320"/>
      <c r="Q14" s="69"/>
      <c r="R14" s="433"/>
      <c r="S14" s="433"/>
      <c r="T14" s="429"/>
      <c r="U14" s="69"/>
      <c r="V14" s="71"/>
      <c r="W14" s="72"/>
      <c r="X14" s="320"/>
    </row>
    <row r="15" spans="2:24" x14ac:dyDescent="0.25">
      <c r="B15" s="41"/>
      <c r="C15" s="41"/>
      <c r="D15" s="49" t="s">
        <v>28</v>
      </c>
      <c r="E15" s="68"/>
      <c r="F15" s="71"/>
      <c r="G15" s="72"/>
      <c r="H15" s="433"/>
      <c r="I15" s="322"/>
      <c r="J15" s="322"/>
      <c r="K15" s="322"/>
      <c r="L15" s="320"/>
      <c r="M15" s="50"/>
      <c r="N15" s="440"/>
      <c r="O15" s="437"/>
      <c r="P15" s="320"/>
      <c r="Q15" s="69"/>
      <c r="R15" s="433"/>
      <c r="S15" s="433"/>
      <c r="T15" s="429"/>
      <c r="U15" s="69"/>
      <c r="V15" s="71"/>
      <c r="W15" s="72"/>
      <c r="X15" s="320"/>
    </row>
    <row r="16" spans="2:24" x14ac:dyDescent="0.25">
      <c r="B16" s="41"/>
      <c r="C16" s="41"/>
      <c r="D16" s="49" t="s">
        <v>29</v>
      </c>
      <c r="E16" s="68"/>
      <c r="F16" s="71"/>
      <c r="G16" s="72"/>
      <c r="H16" s="433"/>
      <c r="I16" s="322"/>
      <c r="J16" s="322"/>
      <c r="K16" s="322"/>
      <c r="L16" s="320"/>
      <c r="M16" s="50"/>
      <c r="N16" s="440"/>
      <c r="O16" s="437"/>
      <c r="P16" s="320"/>
      <c r="Q16" s="69"/>
      <c r="R16" s="433"/>
      <c r="S16" s="433"/>
      <c r="T16" s="429"/>
      <c r="U16" s="69"/>
      <c r="V16" s="71"/>
      <c r="W16" s="72"/>
      <c r="X16" s="320"/>
    </row>
    <row r="17" spans="2:24" x14ac:dyDescent="0.25">
      <c r="B17" s="41"/>
      <c r="C17" s="41"/>
      <c r="D17" s="49" t="s">
        <v>30</v>
      </c>
      <c r="E17" s="68"/>
      <c r="F17" s="73"/>
      <c r="G17" s="74"/>
      <c r="H17" s="447"/>
      <c r="I17" s="323"/>
      <c r="J17" s="323"/>
      <c r="K17" s="323"/>
      <c r="L17" s="321"/>
      <c r="M17" s="50"/>
      <c r="N17" s="441"/>
      <c r="O17" s="438"/>
      <c r="P17" s="321"/>
      <c r="Q17" s="50"/>
      <c r="R17" s="447"/>
      <c r="S17" s="447"/>
      <c r="T17" s="430"/>
      <c r="U17" s="69"/>
      <c r="V17" s="73"/>
      <c r="W17" s="74"/>
      <c r="X17" s="321"/>
    </row>
    <row r="18" spans="2:24" x14ac:dyDescent="0.25">
      <c r="B18" s="52"/>
      <c r="C18" s="52"/>
      <c r="D18" s="53"/>
      <c r="E18" s="75"/>
      <c r="F18" s="54">
        <f>SUM(F6:F17)</f>
        <v>0</v>
      </c>
      <c r="G18" s="54">
        <f t="shared" ref="G18:L18" si="1">SUM(G6:G17)</f>
        <v>0</v>
      </c>
      <c r="H18" s="54">
        <f t="shared" si="1"/>
        <v>1436.4</v>
      </c>
      <c r="I18" s="54">
        <f t="shared" si="1"/>
        <v>0</v>
      </c>
      <c r="J18" s="54">
        <f t="shared" si="1"/>
        <v>0</v>
      </c>
      <c r="K18" s="54">
        <f t="shared" si="1"/>
        <v>0</v>
      </c>
      <c r="L18" s="54">
        <f t="shared" si="1"/>
        <v>0</v>
      </c>
      <c r="M18" s="65"/>
      <c r="N18" s="54">
        <f t="shared" ref="N18:P18" si="2">SUM(N6:N17)</f>
        <v>45807</v>
      </c>
      <c r="O18" s="54"/>
      <c r="P18" s="54">
        <f t="shared" si="2"/>
        <v>0</v>
      </c>
      <c r="Q18" s="76"/>
      <c r="R18" s="54">
        <f>SUM(R6:R17)</f>
        <v>754</v>
      </c>
      <c r="S18" s="54"/>
      <c r="T18" s="54">
        <f>SUM(T6:T17)</f>
        <v>60008.54</v>
      </c>
      <c r="U18" s="40"/>
      <c r="V18" s="54">
        <f t="shared" ref="V18:X18" si="3">SUM(V6:V17)</f>
        <v>0</v>
      </c>
      <c r="W18" s="54">
        <f t="shared" si="3"/>
        <v>0</v>
      </c>
      <c r="X18" s="54">
        <f t="shared" si="3"/>
        <v>0</v>
      </c>
    </row>
    <row r="19" spans="2:24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0</v>
      </c>
      <c r="Q19" s="77"/>
      <c r="R19" s="59">
        <v>0.15</v>
      </c>
      <c r="S19" s="59"/>
      <c r="T19" s="60">
        <f>T18*(1+R19)</f>
        <v>69009.820999999996</v>
      </c>
      <c r="U19" s="77"/>
      <c r="V19" s="59">
        <v>0.21</v>
      </c>
      <c r="W19" s="51"/>
      <c r="X19" s="60">
        <f>X18*(1+V19)</f>
        <v>0</v>
      </c>
    </row>
    <row r="20" spans="2:24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80"/>
      <c r="X20" s="78"/>
    </row>
    <row r="21" spans="2:24" x14ac:dyDescent="0.25">
      <c r="D21" s="49" t="s">
        <v>19</v>
      </c>
      <c r="E21" s="68"/>
      <c r="F21" s="411"/>
      <c r="G21" s="344"/>
      <c r="H21" s="433">
        <v>1537.2</v>
      </c>
      <c r="I21" s="340"/>
      <c r="J21" s="340"/>
      <c r="K21" s="340"/>
      <c r="L21" s="342"/>
      <c r="M21" s="50"/>
      <c r="N21" s="440">
        <f>+O21</f>
        <v>10773</v>
      </c>
      <c r="O21" s="437">
        <f>43092*COUNTA(D21:D23)/12</f>
        <v>10773</v>
      </c>
      <c r="P21" s="429"/>
      <c r="Q21" s="69"/>
      <c r="R21" s="433">
        <f>+S21</f>
        <v>700</v>
      </c>
      <c r="S21" s="433">
        <v>700</v>
      </c>
      <c r="T21" s="429">
        <v>57947.8</v>
      </c>
      <c r="U21" s="70"/>
      <c r="V21" s="343"/>
      <c r="W21" s="344"/>
      <c r="X21" s="342"/>
    </row>
    <row r="22" spans="2:24" x14ac:dyDescent="0.25">
      <c r="D22" s="49" t="s">
        <v>20</v>
      </c>
      <c r="E22" s="68"/>
      <c r="F22" s="71"/>
      <c r="G22" s="72"/>
      <c r="H22" s="433"/>
      <c r="I22" s="322"/>
      <c r="J22" s="322"/>
      <c r="K22" s="322"/>
      <c r="L22" s="320"/>
      <c r="M22" s="50"/>
      <c r="N22" s="440"/>
      <c r="O22" s="437"/>
      <c r="P22" s="429"/>
      <c r="Q22" s="69"/>
      <c r="R22" s="433"/>
      <c r="S22" s="433"/>
      <c r="T22" s="429"/>
      <c r="U22" s="69"/>
      <c r="V22" s="71"/>
      <c r="W22" s="72"/>
      <c r="X22" s="320"/>
    </row>
    <row r="23" spans="2:24" x14ac:dyDescent="0.25">
      <c r="D23" s="49" t="s">
        <v>21</v>
      </c>
      <c r="E23" s="68"/>
      <c r="F23" s="71"/>
      <c r="G23" s="72"/>
      <c r="H23" s="433"/>
      <c r="I23" s="322"/>
      <c r="J23" s="322"/>
      <c r="K23" s="322"/>
      <c r="L23" s="320"/>
      <c r="M23" s="50"/>
      <c r="N23" s="443"/>
      <c r="O23" s="442"/>
      <c r="P23" s="435"/>
      <c r="Q23" s="69"/>
      <c r="R23" s="433"/>
      <c r="S23" s="433"/>
      <c r="T23" s="429"/>
      <c r="U23" s="69"/>
      <c r="V23" s="71"/>
      <c r="W23" s="72"/>
      <c r="X23" s="320"/>
    </row>
    <row r="24" spans="2:24" x14ac:dyDescent="0.25">
      <c r="D24" s="49" t="s">
        <v>22</v>
      </c>
      <c r="E24" s="68"/>
      <c r="F24" s="71"/>
      <c r="G24" s="72"/>
      <c r="H24" s="433"/>
      <c r="I24" s="322"/>
      <c r="J24" s="322"/>
      <c r="K24" s="322"/>
      <c r="L24" s="320"/>
      <c r="M24" s="50"/>
      <c r="N24" s="446">
        <f>+O24</f>
        <v>33431.699999999997</v>
      </c>
      <c r="O24" s="444">
        <f>22803.9+10627.8</f>
        <v>33431.699999999997</v>
      </c>
      <c r="P24" s="428">
        <f>+(7554.53+38128.12+634.05+3519.36+16548.69+232.02)+(29052.17+8608.52+946.12)</f>
        <v>105223.58000000002</v>
      </c>
      <c r="Q24" s="69"/>
      <c r="R24" s="433"/>
      <c r="S24" s="433"/>
      <c r="T24" s="429"/>
      <c r="U24" s="69"/>
      <c r="V24" s="71"/>
      <c r="W24" s="72"/>
      <c r="X24" s="320"/>
    </row>
    <row r="25" spans="2:24" x14ac:dyDescent="0.25">
      <c r="D25" s="49" t="s">
        <v>23</v>
      </c>
      <c r="E25" s="68"/>
      <c r="F25" s="71"/>
      <c r="G25" s="72"/>
      <c r="H25" s="433"/>
      <c r="I25" s="322"/>
      <c r="J25" s="322"/>
      <c r="K25" s="322"/>
      <c r="L25" s="320"/>
      <c r="M25" s="50"/>
      <c r="N25" s="433"/>
      <c r="O25" s="431"/>
      <c r="P25" s="429"/>
      <c r="Q25" s="69"/>
      <c r="R25" s="433"/>
      <c r="S25" s="433"/>
      <c r="T25" s="429"/>
      <c r="U25" s="69"/>
      <c r="V25" s="71"/>
      <c r="W25" s="72"/>
      <c r="X25" s="320"/>
    </row>
    <row r="26" spans="2:24" x14ac:dyDescent="0.25">
      <c r="D26" s="49" t="s">
        <v>24</v>
      </c>
      <c r="E26" s="68"/>
      <c r="F26" s="71"/>
      <c r="G26" s="72"/>
      <c r="H26" s="433"/>
      <c r="I26" s="322"/>
      <c r="J26" s="322"/>
      <c r="K26" s="322"/>
      <c r="L26" s="320"/>
      <c r="M26" s="50"/>
      <c r="N26" s="433"/>
      <c r="O26" s="431"/>
      <c r="P26" s="429"/>
      <c r="Q26" s="69"/>
      <c r="R26" s="433"/>
      <c r="S26" s="433"/>
      <c r="T26" s="429"/>
      <c r="U26" s="69"/>
      <c r="V26" s="71"/>
      <c r="W26" s="72"/>
      <c r="X26" s="320"/>
    </row>
    <row r="27" spans="2:24" x14ac:dyDescent="0.25">
      <c r="D27" s="49" t="s">
        <v>25</v>
      </c>
      <c r="E27" s="68"/>
      <c r="F27" s="71"/>
      <c r="G27" s="72"/>
      <c r="H27" s="433"/>
      <c r="I27" s="322"/>
      <c r="J27" s="322"/>
      <c r="K27" s="322"/>
      <c r="L27" s="320"/>
      <c r="M27" s="50"/>
      <c r="N27" s="433"/>
      <c r="O27" s="431"/>
      <c r="P27" s="429"/>
      <c r="Q27" s="69"/>
      <c r="R27" s="433"/>
      <c r="S27" s="433"/>
      <c r="T27" s="429"/>
      <c r="U27" s="69"/>
      <c r="V27" s="71"/>
      <c r="W27" s="72"/>
      <c r="X27" s="320"/>
    </row>
    <row r="28" spans="2:24" x14ac:dyDescent="0.25">
      <c r="D28" s="49" t="s">
        <v>26</v>
      </c>
      <c r="E28" s="68"/>
      <c r="F28" s="71"/>
      <c r="G28" s="72"/>
      <c r="H28" s="433"/>
      <c r="I28" s="322"/>
      <c r="J28" s="322"/>
      <c r="K28" s="322"/>
      <c r="L28" s="320"/>
      <c r="M28" s="50"/>
      <c r="N28" s="433"/>
      <c r="O28" s="431"/>
      <c r="P28" s="429"/>
      <c r="Q28" s="69"/>
      <c r="R28" s="433"/>
      <c r="S28" s="433"/>
      <c r="T28" s="429"/>
      <c r="U28" s="69"/>
      <c r="V28" s="71"/>
      <c r="W28" s="72"/>
      <c r="X28" s="320"/>
    </row>
    <row r="29" spans="2:24" x14ac:dyDescent="0.25">
      <c r="D29" s="49" t="s">
        <v>27</v>
      </c>
      <c r="E29" s="68"/>
      <c r="F29" s="71"/>
      <c r="G29" s="72"/>
      <c r="H29" s="433"/>
      <c r="I29" s="322"/>
      <c r="J29" s="322"/>
      <c r="K29" s="322"/>
      <c r="L29" s="320"/>
      <c r="M29" s="50"/>
      <c r="N29" s="433"/>
      <c r="O29" s="431"/>
      <c r="P29" s="429"/>
      <c r="Q29" s="69"/>
      <c r="R29" s="433"/>
      <c r="S29" s="433"/>
      <c r="T29" s="429"/>
      <c r="U29" s="69"/>
      <c r="V29" s="71"/>
      <c r="W29" s="72"/>
      <c r="X29" s="320"/>
    </row>
    <row r="30" spans="2:24" x14ac:dyDescent="0.25">
      <c r="D30" s="49" t="s">
        <v>28</v>
      </c>
      <c r="E30" s="68"/>
      <c r="F30" s="71"/>
      <c r="G30" s="72"/>
      <c r="H30" s="433"/>
      <c r="I30" s="322"/>
      <c r="J30" s="322"/>
      <c r="K30" s="322"/>
      <c r="L30" s="320"/>
      <c r="M30" s="50"/>
      <c r="N30" s="433"/>
      <c r="O30" s="431"/>
      <c r="P30" s="429"/>
      <c r="Q30" s="69"/>
      <c r="R30" s="433"/>
      <c r="S30" s="433"/>
      <c r="T30" s="429"/>
      <c r="U30" s="69"/>
      <c r="V30" s="71"/>
      <c r="W30" s="72"/>
      <c r="X30" s="320"/>
    </row>
    <row r="31" spans="2:24" x14ac:dyDescent="0.25">
      <c r="D31" s="49" t="s">
        <v>29</v>
      </c>
      <c r="E31" s="68"/>
      <c r="F31" s="71"/>
      <c r="G31" s="72"/>
      <c r="H31" s="433"/>
      <c r="I31" s="322"/>
      <c r="J31" s="322"/>
      <c r="K31" s="322"/>
      <c r="L31" s="320"/>
      <c r="M31" s="50"/>
      <c r="N31" s="433"/>
      <c r="O31" s="431"/>
      <c r="P31" s="429"/>
      <c r="Q31" s="69"/>
      <c r="R31" s="433"/>
      <c r="S31" s="433"/>
      <c r="T31" s="429"/>
      <c r="U31" s="69"/>
      <c r="V31" s="71"/>
      <c r="W31" s="72"/>
      <c r="X31" s="320"/>
    </row>
    <row r="32" spans="2:24" x14ac:dyDescent="0.25">
      <c r="D32" s="49" t="s">
        <v>30</v>
      </c>
      <c r="E32" s="68"/>
      <c r="F32" s="73"/>
      <c r="G32" s="74"/>
      <c r="H32" s="447"/>
      <c r="I32" s="323"/>
      <c r="J32" s="323"/>
      <c r="K32" s="323"/>
      <c r="L32" s="321"/>
      <c r="M32" s="50"/>
      <c r="N32" s="447"/>
      <c r="O32" s="445"/>
      <c r="P32" s="430"/>
      <c r="Q32" s="50"/>
      <c r="R32" s="447"/>
      <c r="S32" s="447"/>
      <c r="T32" s="430"/>
      <c r="U32" s="69"/>
      <c r="V32" s="73"/>
      <c r="W32" s="74"/>
      <c r="X32" s="321"/>
    </row>
    <row r="33" spans="2:24" x14ac:dyDescent="0.25">
      <c r="B33" s="52"/>
      <c r="C33" s="52"/>
      <c r="D33" s="53"/>
      <c r="E33" s="75"/>
      <c r="F33" s="54">
        <f>SUM(F21:F32)</f>
        <v>0</v>
      </c>
      <c r="G33" s="54">
        <f t="shared" ref="G33:L33" si="4">SUM(G21:G32)</f>
        <v>0</v>
      </c>
      <c r="H33" s="54">
        <f t="shared" si="4"/>
        <v>1537.2</v>
      </c>
      <c r="I33" s="54">
        <f t="shared" si="4"/>
        <v>0</v>
      </c>
      <c r="J33" s="54">
        <f t="shared" si="4"/>
        <v>0</v>
      </c>
      <c r="K33" s="54">
        <f t="shared" si="4"/>
        <v>0</v>
      </c>
      <c r="L33" s="54">
        <f t="shared" si="4"/>
        <v>0</v>
      </c>
      <c r="M33" s="54"/>
      <c r="N33" s="54">
        <f>SUM(N21:N32)</f>
        <v>44204.7</v>
      </c>
      <c r="O33" s="54"/>
      <c r="P33" s="54">
        <f>SUM(P21:P32)</f>
        <v>105223.58000000002</v>
      </c>
      <c r="Q33" s="54"/>
      <c r="R33" s="54">
        <f t="shared" ref="R33:T33" si="5">SUM(R21:R32)</f>
        <v>700</v>
      </c>
      <c r="S33" s="54"/>
      <c r="T33" s="54">
        <f t="shared" si="5"/>
        <v>57947.8</v>
      </c>
      <c r="U33" s="55"/>
      <c r="V33" s="54">
        <f t="shared" ref="V33:X33" si="6">SUM(V21:V32)</f>
        <v>0</v>
      </c>
      <c r="W33" s="54">
        <f t="shared" si="6"/>
        <v>0</v>
      </c>
      <c r="X33" s="54">
        <f t="shared" si="6"/>
        <v>0</v>
      </c>
    </row>
    <row r="34" spans="2:24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127320.53180000001</v>
      </c>
      <c r="Q34" s="51"/>
      <c r="R34" s="59">
        <v>0.15</v>
      </c>
      <c r="S34" s="59"/>
      <c r="T34" s="60">
        <f>T33*(1+R34)</f>
        <v>66639.97</v>
      </c>
      <c r="U34" s="51"/>
      <c r="V34" s="59">
        <v>0.21</v>
      </c>
      <c r="W34" s="51"/>
      <c r="X34" s="60">
        <f>X33*(1+V34)</f>
        <v>0</v>
      </c>
    </row>
    <row r="35" spans="2:24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80"/>
      <c r="R35" s="78"/>
      <c r="S35" s="78"/>
      <c r="T35" s="78"/>
      <c r="U35" s="80"/>
      <c r="X35" s="78"/>
    </row>
    <row r="36" spans="2:24" x14ac:dyDescent="0.25">
      <c r="D36" s="49" t="s">
        <v>19</v>
      </c>
      <c r="E36" s="68"/>
      <c r="F36" s="411"/>
      <c r="G36" s="344"/>
      <c r="H36" s="433">
        <v>1530</v>
      </c>
      <c r="I36" s="431">
        <v>707120.1</v>
      </c>
      <c r="J36" s="82"/>
      <c r="K36" s="82"/>
      <c r="L36" s="83"/>
      <c r="M36" s="81"/>
      <c r="N36" s="433">
        <f t="shared" ref="N36:N39" si="7">+O36</f>
        <v>13186.3</v>
      </c>
      <c r="O36" s="431">
        <f>8421.1+4765.2</f>
        <v>13186.3</v>
      </c>
      <c r="P36" s="429">
        <f>+(2448+14549.72+290.49+1314.81+6527.22+19.74)+(9709.53+3497.66+373.17)</f>
        <v>38730.340000000011</v>
      </c>
      <c r="Q36" s="69"/>
      <c r="R36" s="433">
        <f>+S36</f>
        <v>778</v>
      </c>
      <c r="S36" s="433">
        <v>778</v>
      </c>
      <c r="T36" s="429">
        <v>65957.16</v>
      </c>
      <c r="U36" s="70"/>
      <c r="V36" s="343"/>
      <c r="W36" s="344"/>
      <c r="X36" s="342"/>
    </row>
    <row r="37" spans="2:24" x14ac:dyDescent="0.25">
      <c r="D37" s="49" t="s">
        <v>20</v>
      </c>
      <c r="E37" s="68"/>
      <c r="F37" s="71"/>
      <c r="G37" s="72"/>
      <c r="H37" s="433"/>
      <c r="I37" s="431"/>
      <c r="J37" s="84"/>
      <c r="K37" s="84"/>
      <c r="L37" s="85"/>
      <c r="M37" s="81"/>
      <c r="N37" s="433"/>
      <c r="O37" s="431"/>
      <c r="P37" s="429"/>
      <c r="Q37" s="69"/>
      <c r="R37" s="433"/>
      <c r="S37" s="433"/>
      <c r="T37" s="429"/>
      <c r="U37" s="69"/>
      <c r="V37" s="71"/>
      <c r="W37" s="72"/>
      <c r="X37" s="320"/>
    </row>
    <row r="38" spans="2:24" x14ac:dyDescent="0.25">
      <c r="D38" s="49" t="s">
        <v>21</v>
      </c>
      <c r="E38" s="68"/>
      <c r="F38" s="71"/>
      <c r="G38" s="72"/>
      <c r="H38" s="433"/>
      <c r="I38" s="431"/>
      <c r="J38" s="84"/>
      <c r="K38" s="84"/>
      <c r="L38" s="85"/>
      <c r="M38" s="81"/>
      <c r="N38" s="434"/>
      <c r="O38" s="432"/>
      <c r="P38" s="435"/>
      <c r="Q38" s="69"/>
      <c r="R38" s="433"/>
      <c r="S38" s="433"/>
      <c r="T38" s="429"/>
      <c r="U38" s="69"/>
      <c r="V38" s="71"/>
      <c r="W38" s="72"/>
      <c r="X38" s="320"/>
    </row>
    <row r="39" spans="2:24" x14ac:dyDescent="0.25">
      <c r="D39" s="49" t="s">
        <v>22</v>
      </c>
      <c r="E39" s="68"/>
      <c r="F39" s="71"/>
      <c r="G39" s="72"/>
      <c r="H39" s="433"/>
      <c r="I39" s="431"/>
      <c r="J39" s="84"/>
      <c r="K39" s="84"/>
      <c r="L39" s="85"/>
      <c r="M39" s="81"/>
      <c r="N39" s="446">
        <f t="shared" si="7"/>
        <v>32328.400000000001</v>
      </c>
      <c r="O39" s="444">
        <f>22120.8+10207.6</f>
        <v>32328.400000000001</v>
      </c>
      <c r="P39" s="428">
        <v>99383.7</v>
      </c>
      <c r="Q39" s="69"/>
      <c r="R39" s="433"/>
      <c r="S39" s="433"/>
      <c r="T39" s="429"/>
      <c r="U39" s="69"/>
      <c r="V39" s="71"/>
      <c r="W39" s="72"/>
      <c r="X39" s="320"/>
    </row>
    <row r="40" spans="2:24" x14ac:dyDescent="0.25">
      <c r="D40" s="49" t="s">
        <v>23</v>
      </c>
      <c r="E40" s="68"/>
      <c r="F40" s="71"/>
      <c r="G40" s="72"/>
      <c r="H40" s="433"/>
      <c r="I40" s="431"/>
      <c r="J40" s="84"/>
      <c r="K40" s="84"/>
      <c r="L40" s="85"/>
      <c r="M40" s="81"/>
      <c r="N40" s="433"/>
      <c r="O40" s="431"/>
      <c r="P40" s="429"/>
      <c r="Q40" s="69"/>
      <c r="R40" s="433"/>
      <c r="S40" s="433"/>
      <c r="T40" s="429"/>
      <c r="U40" s="69"/>
      <c r="V40" s="71"/>
      <c r="W40" s="72"/>
      <c r="X40" s="320"/>
    </row>
    <row r="41" spans="2:24" x14ac:dyDescent="0.25">
      <c r="D41" s="49" t="s">
        <v>24</v>
      </c>
      <c r="E41" s="68"/>
      <c r="F41" s="71"/>
      <c r="G41" s="72"/>
      <c r="H41" s="433"/>
      <c r="I41" s="431"/>
      <c r="J41" s="84"/>
      <c r="K41" s="84"/>
      <c r="L41" s="85"/>
      <c r="M41" s="81"/>
      <c r="N41" s="433"/>
      <c r="O41" s="431"/>
      <c r="P41" s="429"/>
      <c r="Q41" s="69"/>
      <c r="R41" s="433"/>
      <c r="S41" s="433"/>
      <c r="T41" s="429"/>
      <c r="U41" s="69"/>
      <c r="V41" s="71"/>
      <c r="W41" s="72"/>
      <c r="X41" s="320"/>
    </row>
    <row r="42" spans="2:24" x14ac:dyDescent="0.25">
      <c r="D42" s="49" t="s">
        <v>25</v>
      </c>
      <c r="E42" s="68"/>
      <c r="F42" s="71"/>
      <c r="G42" s="72"/>
      <c r="H42" s="433"/>
      <c r="I42" s="431"/>
      <c r="J42" s="84"/>
      <c r="K42" s="84"/>
      <c r="L42" s="85"/>
      <c r="M42" s="81"/>
      <c r="N42" s="433"/>
      <c r="O42" s="431"/>
      <c r="P42" s="429"/>
      <c r="Q42" s="69"/>
      <c r="R42" s="433"/>
      <c r="S42" s="433"/>
      <c r="T42" s="429"/>
      <c r="U42" s="69"/>
      <c r="V42" s="71"/>
      <c r="W42" s="72"/>
      <c r="X42" s="320"/>
    </row>
    <row r="43" spans="2:24" x14ac:dyDescent="0.25">
      <c r="D43" s="49" t="s">
        <v>26</v>
      </c>
      <c r="E43" s="68"/>
      <c r="F43" s="71"/>
      <c r="G43" s="72"/>
      <c r="H43" s="433"/>
      <c r="I43" s="431"/>
      <c r="J43" s="84"/>
      <c r="K43" s="84"/>
      <c r="L43" s="85"/>
      <c r="M43" s="81"/>
      <c r="N43" s="433"/>
      <c r="O43" s="431"/>
      <c r="P43" s="429"/>
      <c r="Q43" s="69"/>
      <c r="R43" s="433"/>
      <c r="S43" s="433"/>
      <c r="T43" s="429"/>
      <c r="U43" s="69"/>
      <c r="V43" s="71"/>
      <c r="W43" s="72"/>
      <c r="X43" s="320"/>
    </row>
    <row r="44" spans="2:24" x14ac:dyDescent="0.25">
      <c r="D44" s="49" t="s">
        <v>27</v>
      </c>
      <c r="E44" s="68"/>
      <c r="F44" s="71"/>
      <c r="G44" s="72"/>
      <c r="H44" s="433"/>
      <c r="I44" s="431"/>
      <c r="J44" s="84"/>
      <c r="K44" s="84"/>
      <c r="L44" s="85"/>
      <c r="M44" s="81"/>
      <c r="N44" s="433"/>
      <c r="O44" s="431"/>
      <c r="P44" s="429"/>
      <c r="Q44" s="69"/>
      <c r="R44" s="433"/>
      <c r="S44" s="433"/>
      <c r="T44" s="429"/>
      <c r="U44" s="69"/>
      <c r="V44" s="71"/>
      <c r="W44" s="72"/>
      <c r="X44" s="320"/>
    </row>
    <row r="45" spans="2:24" x14ac:dyDescent="0.25">
      <c r="D45" s="49" t="s">
        <v>28</v>
      </c>
      <c r="E45" s="68"/>
      <c r="F45" s="71"/>
      <c r="G45" s="72"/>
      <c r="H45" s="433"/>
      <c r="I45" s="431"/>
      <c r="J45" s="84"/>
      <c r="K45" s="84"/>
      <c r="L45" s="85"/>
      <c r="M45" s="81"/>
      <c r="N45" s="433"/>
      <c r="O45" s="431"/>
      <c r="P45" s="429"/>
      <c r="Q45" s="69"/>
      <c r="R45" s="433"/>
      <c r="S45" s="433"/>
      <c r="T45" s="429"/>
      <c r="U45" s="69"/>
      <c r="V45" s="71"/>
      <c r="W45" s="72"/>
      <c r="X45" s="320"/>
    </row>
    <row r="46" spans="2:24" x14ac:dyDescent="0.25">
      <c r="D46" s="49" t="s">
        <v>29</v>
      </c>
      <c r="E46" s="68"/>
      <c r="F46" s="71"/>
      <c r="G46" s="72"/>
      <c r="H46" s="433"/>
      <c r="I46" s="431"/>
      <c r="J46" s="84"/>
      <c r="K46" s="84"/>
      <c r="L46" s="85"/>
      <c r="M46" s="81"/>
      <c r="N46" s="433"/>
      <c r="O46" s="431"/>
      <c r="P46" s="429"/>
      <c r="Q46" s="69"/>
      <c r="R46" s="433"/>
      <c r="S46" s="433"/>
      <c r="T46" s="429"/>
      <c r="U46" s="69"/>
      <c r="V46" s="71"/>
      <c r="W46" s="72"/>
      <c r="X46" s="320"/>
    </row>
    <row r="47" spans="2:24" x14ac:dyDescent="0.25">
      <c r="D47" s="49" t="s">
        <v>30</v>
      </c>
      <c r="E47" s="68"/>
      <c r="F47" s="73"/>
      <c r="G47" s="74"/>
      <c r="H47" s="447"/>
      <c r="I47" s="445"/>
      <c r="J47" s="86"/>
      <c r="K47" s="86"/>
      <c r="L47" s="87"/>
      <c r="M47" s="81"/>
      <c r="N47" s="447"/>
      <c r="O47" s="445"/>
      <c r="P47" s="430"/>
      <c r="Q47" s="50"/>
      <c r="R47" s="447"/>
      <c r="S47" s="447"/>
      <c r="T47" s="430"/>
      <c r="U47" s="69"/>
      <c r="V47" s="73"/>
      <c r="W47" s="74"/>
      <c r="X47" s="321"/>
    </row>
    <row r="48" spans="2:24" x14ac:dyDescent="0.25">
      <c r="B48" s="52"/>
      <c r="C48" s="52"/>
      <c r="D48" s="53"/>
      <c r="E48" s="75"/>
      <c r="F48" s="54">
        <f>SUM(F36:F47)</f>
        <v>0</v>
      </c>
      <c r="G48" s="54">
        <f t="shared" ref="G48:L48" si="8">SUM(G36:G47)</f>
        <v>0</v>
      </c>
      <c r="H48" s="54">
        <f t="shared" si="8"/>
        <v>1530</v>
      </c>
      <c r="I48" s="54">
        <f t="shared" si="8"/>
        <v>707120.1</v>
      </c>
      <c r="J48" s="54">
        <f t="shared" si="8"/>
        <v>0</v>
      </c>
      <c r="K48" s="54">
        <f t="shared" si="8"/>
        <v>0</v>
      </c>
      <c r="L48" s="54">
        <f t="shared" si="8"/>
        <v>0</v>
      </c>
      <c r="M48" s="54"/>
      <c r="N48" s="54">
        <f>SUM(N36:N47)</f>
        <v>45514.7</v>
      </c>
      <c r="O48" s="54"/>
      <c r="P48" s="54">
        <f>SUM(P36:P47)</f>
        <v>138114.04</v>
      </c>
      <c r="Q48" s="54"/>
      <c r="R48" s="54">
        <f t="shared" ref="R48:T48" si="9">SUM(R36:R47)</f>
        <v>778</v>
      </c>
      <c r="S48" s="54"/>
      <c r="T48" s="54">
        <f t="shared" si="9"/>
        <v>65957.16</v>
      </c>
      <c r="U48" s="55"/>
      <c r="V48" s="54">
        <f t="shared" ref="V48:X48" si="10">SUM(V36:V47)</f>
        <v>0</v>
      </c>
      <c r="W48" s="54">
        <f t="shared" si="10"/>
        <v>0</v>
      </c>
      <c r="X48" s="54">
        <f t="shared" si="10"/>
        <v>0</v>
      </c>
    </row>
    <row r="49" spans="1:24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813188.11499999987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167117.9884</v>
      </c>
      <c r="Q49" s="51"/>
      <c r="R49" s="59">
        <v>0.15</v>
      </c>
      <c r="S49" s="59"/>
      <c r="T49" s="60">
        <f>T48*(1+R49)</f>
        <v>75850.733999999997</v>
      </c>
      <c r="U49" s="51"/>
      <c r="V49" s="59">
        <v>0.21</v>
      </c>
      <c r="W49" s="51"/>
      <c r="X49" s="60">
        <f>X48*(1+V49)</f>
        <v>0</v>
      </c>
    </row>
    <row r="51" spans="1:24" x14ac:dyDescent="0.25">
      <c r="B51" s="41" t="s">
        <v>36</v>
      </c>
      <c r="P51" s="43"/>
      <c r="Q51" s="88"/>
      <c r="R51" s="43"/>
      <c r="S51" s="43"/>
      <c r="T51" s="43"/>
      <c r="U51" s="88"/>
      <c r="V51" s="43"/>
      <c r="W51" s="43"/>
      <c r="X51" s="43"/>
    </row>
    <row r="52" spans="1:24" x14ac:dyDescent="0.25">
      <c r="B52" s="89" t="s">
        <v>201</v>
      </c>
    </row>
    <row r="53" spans="1:24" x14ac:dyDescent="0.25">
      <c r="B53" s="89" t="s">
        <v>220</v>
      </c>
    </row>
    <row r="54" spans="1:24" x14ac:dyDescent="0.25">
      <c r="B54" s="89" t="s">
        <v>200</v>
      </c>
    </row>
    <row r="55" spans="1:24" x14ac:dyDescent="0.25">
      <c r="A55" s="89"/>
      <c r="B55" s="89"/>
    </row>
    <row r="56" spans="1:24" x14ac:dyDescent="0.25">
      <c r="B56" s="89"/>
    </row>
    <row r="57" spans="1:24" x14ac:dyDescent="0.25">
      <c r="B57" s="91"/>
    </row>
    <row r="58" spans="1:24" x14ac:dyDescent="0.25">
      <c r="B58" s="91"/>
    </row>
    <row r="59" spans="1:24" x14ac:dyDescent="0.25">
      <c r="B59" s="91"/>
    </row>
    <row r="60" spans="1:24" x14ac:dyDescent="0.25">
      <c r="B60" s="91"/>
    </row>
    <row r="61" spans="1:24" x14ac:dyDescent="0.25">
      <c r="B61" s="91"/>
    </row>
  </sheetData>
  <mergeCells count="40">
    <mergeCell ref="V2:X2"/>
    <mergeCell ref="F3:G3"/>
    <mergeCell ref="H3:I3"/>
    <mergeCell ref="J3:L3"/>
    <mergeCell ref="N3:P3"/>
    <mergeCell ref="R3:T3"/>
    <mergeCell ref="V3:X3"/>
    <mergeCell ref="R6:R17"/>
    <mergeCell ref="S6:S17"/>
    <mergeCell ref="T6:T17"/>
    <mergeCell ref="H6:H17"/>
    <mergeCell ref="D2:D4"/>
    <mergeCell ref="F2:L2"/>
    <mergeCell ref="N2:P2"/>
    <mergeCell ref="R2:T2"/>
    <mergeCell ref="R21:R32"/>
    <mergeCell ref="S21:S32"/>
    <mergeCell ref="T21:T32"/>
    <mergeCell ref="R36:R47"/>
    <mergeCell ref="S36:S47"/>
    <mergeCell ref="T36:T47"/>
    <mergeCell ref="H36:H47"/>
    <mergeCell ref="I36:I47"/>
    <mergeCell ref="O6:O8"/>
    <mergeCell ref="N6:N8"/>
    <mergeCell ref="O39:O47"/>
    <mergeCell ref="N39:N47"/>
    <mergeCell ref="H21:H32"/>
    <mergeCell ref="P39:P47"/>
    <mergeCell ref="O36:O38"/>
    <mergeCell ref="N36:N38"/>
    <mergeCell ref="P36:P38"/>
    <mergeCell ref="O9:O17"/>
    <mergeCell ref="N9:N17"/>
    <mergeCell ref="O21:O23"/>
    <mergeCell ref="N21:N23"/>
    <mergeCell ref="O24:O32"/>
    <mergeCell ref="N24:N32"/>
    <mergeCell ref="P24:P32"/>
    <mergeCell ref="P21:P23"/>
  </mergeCells>
  <pageMargins left="0.70866141732283472" right="0.70866141732283472" top="0.78740157480314965" bottom="0.78740157480314965" header="0.31496062992125984" footer="0.31496062992125984"/>
  <pageSetup paperSize="9" scale="35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W61"/>
  <sheetViews>
    <sheetView zoomScaleNormal="100" workbookViewId="0">
      <pane ySplit="4" topLeftCell="A23" activePane="bottomLeft" state="frozen"/>
      <selection pane="bottomLeft" activeCell="O24" activeCellId="1" sqref="O36:O38 O24:O32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hidden="1" customWidth="1" outlineLevel="1"/>
    <col min="16" max="16" width="12.7109375" style="40" customWidth="1" collapsed="1"/>
    <col min="17" max="17" width="3.28515625" style="42" customWidth="1"/>
    <col min="18" max="19" width="14" style="40" customWidth="1"/>
    <col min="20" max="20" width="3.28515625" style="42" customWidth="1"/>
    <col min="21" max="264" width="10.140625" style="40"/>
    <col min="265" max="277" width="14" style="40" customWidth="1"/>
    <col min="278" max="520" width="10.140625" style="40"/>
    <col min="521" max="533" width="14" style="40" customWidth="1"/>
    <col min="534" max="776" width="10.140625" style="40"/>
    <col min="777" max="789" width="14" style="40" customWidth="1"/>
    <col min="790" max="1032" width="10.140625" style="40"/>
    <col min="1033" max="1045" width="14" style="40" customWidth="1"/>
    <col min="1046" max="1288" width="10.140625" style="40"/>
    <col min="1289" max="1301" width="14" style="40" customWidth="1"/>
    <col min="1302" max="1544" width="10.140625" style="40"/>
    <col min="1545" max="1557" width="14" style="40" customWidth="1"/>
    <col min="1558" max="1800" width="10.140625" style="40"/>
    <col min="1801" max="1813" width="14" style="40" customWidth="1"/>
    <col min="1814" max="2056" width="10.140625" style="40"/>
    <col min="2057" max="2069" width="14" style="40" customWidth="1"/>
    <col min="2070" max="2312" width="10.140625" style="40"/>
    <col min="2313" max="2325" width="14" style="40" customWidth="1"/>
    <col min="2326" max="2568" width="10.140625" style="40"/>
    <col min="2569" max="2581" width="14" style="40" customWidth="1"/>
    <col min="2582" max="2824" width="10.140625" style="40"/>
    <col min="2825" max="2837" width="14" style="40" customWidth="1"/>
    <col min="2838" max="3080" width="10.140625" style="40"/>
    <col min="3081" max="3093" width="14" style="40" customWidth="1"/>
    <col min="3094" max="3336" width="10.140625" style="40"/>
    <col min="3337" max="3349" width="14" style="40" customWidth="1"/>
    <col min="3350" max="3592" width="10.140625" style="40"/>
    <col min="3593" max="3605" width="14" style="40" customWidth="1"/>
    <col min="3606" max="3848" width="10.140625" style="40"/>
    <col min="3849" max="3861" width="14" style="40" customWidth="1"/>
    <col min="3862" max="4104" width="10.140625" style="40"/>
    <col min="4105" max="4117" width="14" style="40" customWidth="1"/>
    <col min="4118" max="4360" width="10.140625" style="40"/>
    <col min="4361" max="4373" width="14" style="40" customWidth="1"/>
    <col min="4374" max="4616" width="10.140625" style="40"/>
    <col min="4617" max="4629" width="14" style="40" customWidth="1"/>
    <col min="4630" max="4872" width="10.140625" style="40"/>
    <col min="4873" max="4885" width="14" style="40" customWidth="1"/>
    <col min="4886" max="5128" width="10.140625" style="40"/>
    <col min="5129" max="5141" width="14" style="40" customWidth="1"/>
    <col min="5142" max="5384" width="10.140625" style="40"/>
    <col min="5385" max="5397" width="14" style="40" customWidth="1"/>
    <col min="5398" max="5640" width="10.140625" style="40"/>
    <col min="5641" max="5653" width="14" style="40" customWidth="1"/>
    <col min="5654" max="5896" width="10.140625" style="40"/>
    <col min="5897" max="5909" width="14" style="40" customWidth="1"/>
    <col min="5910" max="6152" width="10.140625" style="40"/>
    <col min="6153" max="6165" width="14" style="40" customWidth="1"/>
    <col min="6166" max="6408" width="10.140625" style="40"/>
    <col min="6409" max="6421" width="14" style="40" customWidth="1"/>
    <col min="6422" max="6664" width="10.140625" style="40"/>
    <col min="6665" max="6677" width="14" style="40" customWidth="1"/>
    <col min="6678" max="6920" width="10.140625" style="40"/>
    <col min="6921" max="6933" width="14" style="40" customWidth="1"/>
    <col min="6934" max="7176" width="10.140625" style="40"/>
    <col min="7177" max="7189" width="14" style="40" customWidth="1"/>
    <col min="7190" max="7432" width="10.140625" style="40"/>
    <col min="7433" max="7445" width="14" style="40" customWidth="1"/>
    <col min="7446" max="7688" width="10.140625" style="40"/>
    <col min="7689" max="7701" width="14" style="40" customWidth="1"/>
    <col min="7702" max="7944" width="10.140625" style="40"/>
    <col min="7945" max="7957" width="14" style="40" customWidth="1"/>
    <col min="7958" max="8200" width="10.140625" style="40"/>
    <col min="8201" max="8213" width="14" style="40" customWidth="1"/>
    <col min="8214" max="8456" width="10.140625" style="40"/>
    <col min="8457" max="8469" width="14" style="40" customWidth="1"/>
    <col min="8470" max="8712" width="10.140625" style="40"/>
    <col min="8713" max="8725" width="14" style="40" customWidth="1"/>
    <col min="8726" max="8968" width="10.140625" style="40"/>
    <col min="8969" max="8981" width="14" style="40" customWidth="1"/>
    <col min="8982" max="9224" width="10.140625" style="40"/>
    <col min="9225" max="9237" width="14" style="40" customWidth="1"/>
    <col min="9238" max="9480" width="10.140625" style="40"/>
    <col min="9481" max="9493" width="14" style="40" customWidth="1"/>
    <col min="9494" max="9736" width="10.140625" style="40"/>
    <col min="9737" max="9749" width="14" style="40" customWidth="1"/>
    <col min="9750" max="9992" width="10.140625" style="40"/>
    <col min="9993" max="10005" width="14" style="40" customWidth="1"/>
    <col min="10006" max="10248" width="10.140625" style="40"/>
    <col min="10249" max="10261" width="14" style="40" customWidth="1"/>
    <col min="10262" max="10504" width="10.140625" style="40"/>
    <col min="10505" max="10517" width="14" style="40" customWidth="1"/>
    <col min="10518" max="10760" width="10.140625" style="40"/>
    <col min="10761" max="10773" width="14" style="40" customWidth="1"/>
    <col min="10774" max="11016" width="10.140625" style="40"/>
    <col min="11017" max="11029" width="14" style="40" customWidth="1"/>
    <col min="11030" max="11272" width="10.140625" style="40"/>
    <col min="11273" max="11285" width="14" style="40" customWidth="1"/>
    <col min="11286" max="11528" width="10.140625" style="40"/>
    <col min="11529" max="11541" width="14" style="40" customWidth="1"/>
    <col min="11542" max="11784" width="10.140625" style="40"/>
    <col min="11785" max="11797" width="14" style="40" customWidth="1"/>
    <col min="11798" max="12040" width="10.140625" style="40"/>
    <col min="12041" max="12053" width="14" style="40" customWidth="1"/>
    <col min="12054" max="12296" width="10.140625" style="40"/>
    <col min="12297" max="12309" width="14" style="40" customWidth="1"/>
    <col min="12310" max="12552" width="10.140625" style="40"/>
    <col min="12553" max="12565" width="14" style="40" customWidth="1"/>
    <col min="12566" max="12808" width="10.140625" style="40"/>
    <col min="12809" max="12821" width="14" style="40" customWidth="1"/>
    <col min="12822" max="13064" width="10.140625" style="40"/>
    <col min="13065" max="13077" width="14" style="40" customWidth="1"/>
    <col min="13078" max="13320" width="10.140625" style="40"/>
    <col min="13321" max="13333" width="14" style="40" customWidth="1"/>
    <col min="13334" max="13576" width="10.140625" style="40"/>
    <col min="13577" max="13589" width="14" style="40" customWidth="1"/>
    <col min="13590" max="13832" width="10.140625" style="40"/>
    <col min="13833" max="13845" width="14" style="40" customWidth="1"/>
    <col min="13846" max="14088" width="10.140625" style="40"/>
    <col min="14089" max="14101" width="14" style="40" customWidth="1"/>
    <col min="14102" max="14344" width="10.140625" style="40"/>
    <col min="14345" max="14357" width="14" style="40" customWidth="1"/>
    <col min="14358" max="14600" width="10.140625" style="40"/>
    <col min="14601" max="14613" width="14" style="40" customWidth="1"/>
    <col min="14614" max="14856" width="10.140625" style="40"/>
    <col min="14857" max="14869" width="14" style="40" customWidth="1"/>
    <col min="14870" max="15112" width="10.140625" style="40"/>
    <col min="15113" max="15125" width="14" style="40" customWidth="1"/>
    <col min="15126" max="15368" width="10.140625" style="40"/>
    <col min="15369" max="15381" width="14" style="40" customWidth="1"/>
    <col min="15382" max="15624" width="10.140625" style="40"/>
    <col min="15625" max="15637" width="14" style="40" customWidth="1"/>
    <col min="15638" max="15880" width="10.140625" style="40"/>
    <col min="15881" max="15893" width="14" style="40" customWidth="1"/>
    <col min="15894" max="16136" width="10.140625" style="40"/>
    <col min="16137" max="16149" width="14" style="40" customWidth="1"/>
    <col min="16150" max="16384" width="10.140625" style="40"/>
  </cols>
  <sheetData>
    <row r="1" spans="2:23" ht="4.5" customHeight="1" x14ac:dyDescent="0.25"/>
    <row r="2" spans="2:23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0"/>
      <c r="U2" s="453" t="s">
        <v>11</v>
      </c>
      <c r="V2" s="453"/>
      <c r="W2" s="453"/>
    </row>
    <row r="3" spans="2:23" ht="15" customHeight="1" x14ac:dyDescent="0.25">
      <c r="B3" s="45" t="str">
        <f ca="1">MID(CELL("filename",A8),FIND("]",CELL("filename",A8))+1,LEN(CELL("filename",A8))-FIND("]",CELL("filename",A8)))</f>
        <v>02 Tělocvična ZŠ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0"/>
      <c r="U3" s="457" t="s">
        <v>3</v>
      </c>
      <c r="V3" s="457"/>
      <c r="W3" s="457"/>
    </row>
    <row r="4" spans="2:23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165</v>
      </c>
      <c r="P4" s="36" t="s">
        <v>8</v>
      </c>
      <c r="Q4" s="48"/>
      <c r="R4" s="327" t="s">
        <v>14</v>
      </c>
      <c r="S4" s="37" t="s">
        <v>8</v>
      </c>
      <c r="T4" s="40"/>
      <c r="U4" s="38" t="s">
        <v>2</v>
      </c>
      <c r="V4" s="38" t="s">
        <v>14</v>
      </c>
      <c r="W4" s="39" t="s">
        <v>8</v>
      </c>
    </row>
    <row r="5" spans="2:23" ht="4.5" customHeight="1" x14ac:dyDescent="0.25">
      <c r="D5" s="63"/>
      <c r="E5" s="79"/>
      <c r="F5" s="41"/>
      <c r="G5" s="41"/>
    </row>
    <row r="6" spans="2:23" x14ac:dyDescent="0.25">
      <c r="B6" s="41"/>
      <c r="C6" s="41"/>
      <c r="D6" s="49" t="s">
        <v>19</v>
      </c>
      <c r="E6" s="68"/>
      <c r="F6" s="343"/>
      <c r="G6" s="344"/>
      <c r="H6" s="458">
        <v>471.6</v>
      </c>
      <c r="I6" s="340"/>
      <c r="J6" s="340"/>
      <c r="K6" s="340"/>
      <c r="L6" s="342"/>
      <c r="M6" s="50"/>
      <c r="N6" s="433">
        <f>+O6</f>
        <v>3850</v>
      </c>
      <c r="O6" s="431">
        <v>3850</v>
      </c>
      <c r="P6" s="342"/>
      <c r="Q6" s="69"/>
      <c r="R6" s="343"/>
      <c r="S6" s="342"/>
      <c r="T6" s="70"/>
      <c r="U6" s="343"/>
      <c r="V6" s="344"/>
      <c r="W6" s="342"/>
    </row>
    <row r="7" spans="2:23" x14ac:dyDescent="0.25">
      <c r="B7" s="41"/>
      <c r="C7" s="41"/>
      <c r="D7" s="49" t="s">
        <v>20</v>
      </c>
      <c r="E7" s="68"/>
      <c r="F7" s="71"/>
      <c r="G7" s="72"/>
      <c r="H7" s="458"/>
      <c r="I7" s="322"/>
      <c r="J7" s="322"/>
      <c r="K7" s="322"/>
      <c r="L7" s="320"/>
      <c r="M7" s="50"/>
      <c r="N7" s="433"/>
      <c r="O7" s="431"/>
      <c r="P7" s="320"/>
      <c r="Q7" s="69"/>
      <c r="R7" s="71"/>
      <c r="S7" s="320"/>
      <c r="T7" s="69"/>
      <c r="U7" s="71"/>
      <c r="V7" s="72"/>
      <c r="W7" s="320"/>
    </row>
    <row r="8" spans="2:23" x14ac:dyDescent="0.25">
      <c r="B8" s="41"/>
      <c r="C8" s="41"/>
      <c r="D8" s="49" t="s">
        <v>21</v>
      </c>
      <c r="E8" s="68"/>
      <c r="F8" s="71"/>
      <c r="G8" s="72"/>
      <c r="H8" s="458"/>
      <c r="I8" s="322"/>
      <c r="J8" s="322"/>
      <c r="K8" s="322"/>
      <c r="L8" s="320"/>
      <c r="M8" s="50"/>
      <c r="N8" s="434"/>
      <c r="O8" s="432"/>
      <c r="P8" s="320"/>
      <c r="Q8" s="69"/>
      <c r="R8" s="71"/>
      <c r="S8" s="320"/>
      <c r="T8" s="69"/>
      <c r="U8" s="71"/>
      <c r="V8" s="72"/>
      <c r="W8" s="320"/>
    </row>
    <row r="9" spans="2:23" x14ac:dyDescent="0.25">
      <c r="B9" s="41"/>
      <c r="C9" s="41"/>
      <c r="D9" s="49" t="s">
        <v>22</v>
      </c>
      <c r="E9" s="68"/>
      <c r="F9" s="71"/>
      <c r="G9" s="72"/>
      <c r="H9" s="458"/>
      <c r="I9" s="322"/>
      <c r="J9" s="322"/>
      <c r="K9" s="322"/>
      <c r="L9" s="320"/>
      <c r="M9" s="50"/>
      <c r="N9" s="439">
        <f t="shared" ref="N9" si="0">+O9</f>
        <v>8547.75</v>
      </c>
      <c r="O9" s="436">
        <f>11397*COUNTA(D9:D17)/12</f>
        <v>8547.75</v>
      </c>
      <c r="P9" s="320"/>
      <c r="Q9" s="69"/>
      <c r="R9" s="71"/>
      <c r="S9" s="320"/>
      <c r="T9" s="69"/>
      <c r="U9" s="71"/>
      <c r="V9" s="72"/>
      <c r="W9" s="320"/>
    </row>
    <row r="10" spans="2:23" x14ac:dyDescent="0.25">
      <c r="B10" s="41"/>
      <c r="C10" s="41"/>
      <c r="D10" s="49" t="s">
        <v>23</v>
      </c>
      <c r="E10" s="68"/>
      <c r="F10" s="71"/>
      <c r="G10" s="72"/>
      <c r="H10" s="458"/>
      <c r="I10" s="322"/>
      <c r="J10" s="322"/>
      <c r="K10" s="322"/>
      <c r="L10" s="320"/>
      <c r="M10" s="50"/>
      <c r="N10" s="440"/>
      <c r="O10" s="437"/>
      <c r="P10" s="320"/>
      <c r="Q10" s="69"/>
      <c r="R10" s="71"/>
      <c r="S10" s="320"/>
      <c r="T10" s="69"/>
      <c r="U10" s="71"/>
      <c r="V10" s="72"/>
      <c r="W10" s="320"/>
    </row>
    <row r="11" spans="2:23" x14ac:dyDescent="0.25">
      <c r="B11" s="41"/>
      <c r="C11" s="41"/>
      <c r="D11" s="49" t="s">
        <v>24</v>
      </c>
      <c r="E11" s="68"/>
      <c r="F11" s="71"/>
      <c r="G11" s="72"/>
      <c r="H11" s="458"/>
      <c r="I11" s="322"/>
      <c r="J11" s="322"/>
      <c r="K11" s="322"/>
      <c r="L11" s="320"/>
      <c r="M11" s="50"/>
      <c r="N11" s="440"/>
      <c r="O11" s="437"/>
      <c r="P11" s="320"/>
      <c r="Q11" s="69"/>
      <c r="R11" s="71"/>
      <c r="S11" s="320"/>
      <c r="T11" s="69"/>
      <c r="U11" s="71"/>
      <c r="V11" s="72"/>
      <c r="W11" s="320"/>
    </row>
    <row r="12" spans="2:23" x14ac:dyDescent="0.25">
      <c r="B12" s="41"/>
      <c r="C12" s="41"/>
      <c r="D12" s="49" t="s">
        <v>25</v>
      </c>
      <c r="E12" s="68"/>
      <c r="F12" s="71"/>
      <c r="G12" s="72"/>
      <c r="H12" s="458"/>
      <c r="I12" s="322"/>
      <c r="J12" s="322"/>
      <c r="K12" s="322"/>
      <c r="L12" s="320"/>
      <c r="M12" s="50"/>
      <c r="N12" s="440"/>
      <c r="O12" s="437"/>
      <c r="P12" s="320"/>
      <c r="Q12" s="69"/>
      <c r="R12" s="71"/>
      <c r="S12" s="320"/>
      <c r="T12" s="69"/>
      <c r="U12" s="71"/>
      <c r="V12" s="72"/>
      <c r="W12" s="320"/>
    </row>
    <row r="13" spans="2:23" x14ac:dyDescent="0.25">
      <c r="B13" s="41"/>
      <c r="C13" s="41"/>
      <c r="D13" s="49" t="s">
        <v>26</v>
      </c>
      <c r="E13" s="68"/>
      <c r="F13" s="71"/>
      <c r="G13" s="72"/>
      <c r="H13" s="458"/>
      <c r="I13" s="322"/>
      <c r="J13" s="322"/>
      <c r="K13" s="322"/>
      <c r="L13" s="320"/>
      <c r="M13" s="50"/>
      <c r="N13" s="440"/>
      <c r="O13" s="437"/>
      <c r="P13" s="320"/>
      <c r="Q13" s="69"/>
      <c r="R13" s="71"/>
      <c r="S13" s="320"/>
      <c r="T13" s="69"/>
      <c r="U13" s="71"/>
      <c r="V13" s="72"/>
      <c r="W13" s="320"/>
    </row>
    <row r="14" spans="2:23" x14ac:dyDescent="0.25">
      <c r="B14" s="41"/>
      <c r="C14" s="41"/>
      <c r="D14" s="49" t="s">
        <v>27</v>
      </c>
      <c r="E14" s="68"/>
      <c r="F14" s="71"/>
      <c r="G14" s="72"/>
      <c r="H14" s="458"/>
      <c r="I14" s="322"/>
      <c r="J14" s="322"/>
      <c r="K14" s="322"/>
      <c r="L14" s="320"/>
      <c r="M14" s="50"/>
      <c r="N14" s="440"/>
      <c r="O14" s="437"/>
      <c r="P14" s="320"/>
      <c r="Q14" s="69"/>
      <c r="R14" s="71"/>
      <c r="S14" s="320"/>
      <c r="T14" s="69"/>
      <c r="U14" s="71"/>
      <c r="V14" s="72"/>
      <c r="W14" s="320"/>
    </row>
    <row r="15" spans="2:23" x14ac:dyDescent="0.25">
      <c r="B15" s="41"/>
      <c r="C15" s="41"/>
      <c r="D15" s="49" t="s">
        <v>28</v>
      </c>
      <c r="E15" s="68"/>
      <c r="F15" s="71"/>
      <c r="G15" s="72"/>
      <c r="H15" s="458"/>
      <c r="I15" s="322"/>
      <c r="J15" s="322"/>
      <c r="K15" s="322"/>
      <c r="L15" s="320"/>
      <c r="M15" s="50"/>
      <c r="N15" s="440"/>
      <c r="O15" s="437"/>
      <c r="P15" s="320"/>
      <c r="Q15" s="69"/>
      <c r="R15" s="71"/>
      <c r="S15" s="320"/>
      <c r="T15" s="69"/>
      <c r="U15" s="71"/>
      <c r="V15" s="72"/>
      <c r="W15" s="320"/>
    </row>
    <row r="16" spans="2:23" x14ac:dyDescent="0.25">
      <c r="B16" s="41"/>
      <c r="C16" s="41"/>
      <c r="D16" s="49" t="s">
        <v>29</v>
      </c>
      <c r="E16" s="68"/>
      <c r="F16" s="71"/>
      <c r="G16" s="72"/>
      <c r="H16" s="458"/>
      <c r="I16" s="322"/>
      <c r="J16" s="322"/>
      <c r="K16" s="322"/>
      <c r="L16" s="320"/>
      <c r="M16" s="50"/>
      <c r="N16" s="440"/>
      <c r="O16" s="437"/>
      <c r="P16" s="320"/>
      <c r="Q16" s="69"/>
      <c r="R16" s="71"/>
      <c r="S16" s="320"/>
      <c r="T16" s="69"/>
      <c r="U16" s="71"/>
      <c r="V16" s="72"/>
      <c r="W16" s="320"/>
    </row>
    <row r="17" spans="2:23" x14ac:dyDescent="0.25">
      <c r="B17" s="41"/>
      <c r="C17" s="41"/>
      <c r="D17" s="49" t="s">
        <v>30</v>
      </c>
      <c r="E17" s="68"/>
      <c r="F17" s="73"/>
      <c r="G17" s="74"/>
      <c r="H17" s="459"/>
      <c r="I17" s="323"/>
      <c r="J17" s="323"/>
      <c r="K17" s="323"/>
      <c r="L17" s="321"/>
      <c r="M17" s="50"/>
      <c r="N17" s="441"/>
      <c r="O17" s="438"/>
      <c r="P17" s="321"/>
      <c r="Q17" s="50"/>
      <c r="R17" s="73"/>
      <c r="S17" s="321"/>
      <c r="T17" s="69"/>
      <c r="U17" s="73"/>
      <c r="V17" s="74"/>
      <c r="W17" s="321"/>
    </row>
    <row r="18" spans="2:23" x14ac:dyDescent="0.25">
      <c r="B18" s="52"/>
      <c r="C18" s="52"/>
      <c r="D18" s="53"/>
      <c r="E18" s="75"/>
      <c r="F18" s="54">
        <f>SUM(F6:F17)</f>
        <v>0</v>
      </c>
      <c r="G18" s="54">
        <f t="shared" ref="G18:L18" si="1">SUM(G6:G17)</f>
        <v>0</v>
      </c>
      <c r="H18" s="54">
        <f t="shared" si="1"/>
        <v>471.6</v>
      </c>
      <c r="I18" s="54">
        <f t="shared" si="1"/>
        <v>0</v>
      </c>
      <c r="J18" s="54">
        <f t="shared" si="1"/>
        <v>0</v>
      </c>
      <c r="K18" s="54">
        <f t="shared" si="1"/>
        <v>0</v>
      </c>
      <c r="L18" s="54">
        <f t="shared" si="1"/>
        <v>0</v>
      </c>
      <c r="M18" s="65"/>
      <c r="N18" s="54">
        <f t="shared" ref="N18:P18" si="2">SUM(N6:N17)</f>
        <v>12397.75</v>
      </c>
      <c r="O18" s="54"/>
      <c r="P18" s="54">
        <f t="shared" si="2"/>
        <v>0</v>
      </c>
      <c r="Q18" s="76"/>
      <c r="R18" s="54">
        <f>SUM(R6:R17)</f>
        <v>0</v>
      </c>
      <c r="S18" s="54">
        <f>SUM(S6:S17)</f>
        <v>0</v>
      </c>
      <c r="T18" s="40"/>
      <c r="U18" s="54">
        <f t="shared" ref="U18:W18" si="3">SUM(U6:U17)</f>
        <v>0</v>
      </c>
      <c r="V18" s="54">
        <f t="shared" si="3"/>
        <v>0</v>
      </c>
      <c r="W18" s="54">
        <f t="shared" si="3"/>
        <v>0</v>
      </c>
    </row>
    <row r="19" spans="2:23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0</v>
      </c>
      <c r="Q19" s="77"/>
      <c r="R19" s="59">
        <v>0.15</v>
      </c>
      <c r="S19" s="60">
        <f>S18*(1+R19)</f>
        <v>0</v>
      </c>
      <c r="T19" s="77"/>
      <c r="U19" s="59">
        <v>0.21</v>
      </c>
      <c r="V19" s="51"/>
      <c r="W19" s="60">
        <f>W18*(1+U19)</f>
        <v>0</v>
      </c>
    </row>
    <row r="20" spans="2:23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80"/>
      <c r="W20" s="78"/>
    </row>
    <row r="21" spans="2:23" x14ac:dyDescent="0.25">
      <c r="D21" s="49" t="s">
        <v>19</v>
      </c>
      <c r="E21" s="68"/>
      <c r="F21" s="343"/>
      <c r="G21" s="344"/>
      <c r="H21" s="458">
        <v>201.6</v>
      </c>
      <c r="I21" s="340"/>
      <c r="J21" s="340"/>
      <c r="K21" s="340"/>
      <c r="L21" s="342"/>
      <c r="M21" s="50"/>
      <c r="N21" s="440">
        <f>+O21</f>
        <v>2849.25</v>
      </c>
      <c r="O21" s="437">
        <f>11397*COUNTA(D21:D23)/12</f>
        <v>2849.25</v>
      </c>
      <c r="P21" s="342"/>
      <c r="Q21" s="69"/>
      <c r="R21" s="343"/>
      <c r="S21" s="342"/>
      <c r="T21" s="70"/>
      <c r="U21" s="343"/>
      <c r="V21" s="344"/>
      <c r="W21" s="342"/>
    </row>
    <row r="22" spans="2:23" x14ac:dyDescent="0.25">
      <c r="D22" s="49" t="s">
        <v>20</v>
      </c>
      <c r="E22" s="68"/>
      <c r="F22" s="71"/>
      <c r="G22" s="72"/>
      <c r="H22" s="458"/>
      <c r="I22" s="322"/>
      <c r="J22" s="322"/>
      <c r="K22" s="322"/>
      <c r="L22" s="320"/>
      <c r="M22" s="50"/>
      <c r="N22" s="440"/>
      <c r="O22" s="437"/>
      <c r="P22" s="320"/>
      <c r="Q22" s="69"/>
      <c r="R22" s="71"/>
      <c r="S22" s="320"/>
      <c r="T22" s="69"/>
      <c r="U22" s="71"/>
      <c r="V22" s="72"/>
      <c r="W22" s="320"/>
    </row>
    <row r="23" spans="2:23" x14ac:dyDescent="0.25">
      <c r="D23" s="49" t="s">
        <v>21</v>
      </c>
      <c r="E23" s="68"/>
      <c r="F23" s="71"/>
      <c r="G23" s="72"/>
      <c r="H23" s="458"/>
      <c r="I23" s="322"/>
      <c r="J23" s="322"/>
      <c r="K23" s="322"/>
      <c r="L23" s="320"/>
      <c r="M23" s="50"/>
      <c r="N23" s="443"/>
      <c r="O23" s="442"/>
      <c r="P23" s="320"/>
      <c r="Q23" s="69"/>
      <c r="R23" s="71"/>
      <c r="S23" s="320"/>
      <c r="T23" s="69"/>
      <c r="U23" s="71"/>
      <c r="V23" s="72"/>
      <c r="W23" s="320"/>
    </row>
    <row r="24" spans="2:23" x14ac:dyDescent="0.25">
      <c r="D24" s="49" t="s">
        <v>22</v>
      </c>
      <c r="E24" s="68"/>
      <c r="F24" s="71"/>
      <c r="G24" s="72"/>
      <c r="H24" s="458"/>
      <c r="I24" s="322"/>
      <c r="J24" s="322"/>
      <c r="K24" s="322"/>
      <c r="L24" s="320"/>
      <c r="M24" s="50"/>
      <c r="N24" s="446">
        <f>+O24</f>
        <v>10155.700000000001</v>
      </c>
      <c r="O24" s="444">
        <f>6820.3+3335.4</f>
        <v>10155.700000000001</v>
      </c>
      <c r="P24" s="428">
        <f>+(4721.58+11403.54+198.99+1069.09+5027.07+70.48)+(8689.06+2701.67+287.41)</f>
        <v>34168.89</v>
      </c>
      <c r="Q24" s="69"/>
      <c r="R24" s="71"/>
      <c r="S24" s="320"/>
      <c r="T24" s="69"/>
      <c r="U24" s="71"/>
      <c r="V24" s="72"/>
      <c r="W24" s="320"/>
    </row>
    <row r="25" spans="2:23" x14ac:dyDescent="0.25">
      <c r="D25" s="49" t="s">
        <v>23</v>
      </c>
      <c r="E25" s="68"/>
      <c r="F25" s="71"/>
      <c r="G25" s="72"/>
      <c r="H25" s="458"/>
      <c r="I25" s="322"/>
      <c r="J25" s="322"/>
      <c r="K25" s="322"/>
      <c r="L25" s="320"/>
      <c r="M25" s="50"/>
      <c r="N25" s="433"/>
      <c r="O25" s="431"/>
      <c r="P25" s="429"/>
      <c r="Q25" s="69"/>
      <c r="R25" s="71"/>
      <c r="S25" s="320"/>
      <c r="T25" s="69"/>
      <c r="U25" s="71"/>
      <c r="V25" s="72"/>
      <c r="W25" s="320"/>
    </row>
    <row r="26" spans="2:23" x14ac:dyDescent="0.25">
      <c r="D26" s="49" t="s">
        <v>24</v>
      </c>
      <c r="E26" s="68"/>
      <c r="F26" s="71"/>
      <c r="G26" s="72"/>
      <c r="H26" s="458"/>
      <c r="I26" s="322"/>
      <c r="J26" s="322"/>
      <c r="K26" s="322"/>
      <c r="L26" s="320"/>
      <c r="M26" s="50"/>
      <c r="N26" s="433"/>
      <c r="O26" s="431"/>
      <c r="P26" s="429"/>
      <c r="Q26" s="69"/>
      <c r="R26" s="71"/>
      <c r="S26" s="320"/>
      <c r="T26" s="69"/>
      <c r="U26" s="71"/>
      <c r="V26" s="72"/>
      <c r="W26" s="320"/>
    </row>
    <row r="27" spans="2:23" x14ac:dyDescent="0.25">
      <c r="D27" s="49" t="s">
        <v>25</v>
      </c>
      <c r="E27" s="68"/>
      <c r="F27" s="71"/>
      <c r="G27" s="72"/>
      <c r="H27" s="458"/>
      <c r="I27" s="322"/>
      <c r="J27" s="322"/>
      <c r="K27" s="322"/>
      <c r="L27" s="320"/>
      <c r="M27" s="50"/>
      <c r="N27" s="433"/>
      <c r="O27" s="431"/>
      <c r="P27" s="429"/>
      <c r="Q27" s="69"/>
      <c r="R27" s="71"/>
      <c r="S27" s="320"/>
      <c r="T27" s="69"/>
      <c r="U27" s="71"/>
      <c r="V27" s="72"/>
      <c r="W27" s="320"/>
    </row>
    <row r="28" spans="2:23" x14ac:dyDescent="0.25">
      <c r="D28" s="49" t="s">
        <v>26</v>
      </c>
      <c r="E28" s="68"/>
      <c r="F28" s="71"/>
      <c r="G28" s="72"/>
      <c r="H28" s="458"/>
      <c r="I28" s="322"/>
      <c r="J28" s="322"/>
      <c r="K28" s="322"/>
      <c r="L28" s="320"/>
      <c r="M28" s="50"/>
      <c r="N28" s="433"/>
      <c r="O28" s="431"/>
      <c r="P28" s="429"/>
      <c r="Q28" s="69"/>
      <c r="R28" s="71"/>
      <c r="S28" s="320"/>
      <c r="T28" s="69"/>
      <c r="U28" s="71"/>
      <c r="V28" s="72"/>
      <c r="W28" s="320"/>
    </row>
    <row r="29" spans="2:23" x14ac:dyDescent="0.25">
      <c r="D29" s="49" t="s">
        <v>27</v>
      </c>
      <c r="E29" s="68"/>
      <c r="F29" s="71"/>
      <c r="G29" s="72"/>
      <c r="H29" s="458"/>
      <c r="I29" s="322"/>
      <c r="J29" s="322"/>
      <c r="K29" s="322"/>
      <c r="L29" s="320"/>
      <c r="M29" s="50"/>
      <c r="N29" s="433"/>
      <c r="O29" s="431"/>
      <c r="P29" s="429"/>
      <c r="Q29" s="69"/>
      <c r="R29" s="71"/>
      <c r="S29" s="320"/>
      <c r="T29" s="69"/>
      <c r="U29" s="71"/>
      <c r="V29" s="72"/>
      <c r="W29" s="320"/>
    </row>
    <row r="30" spans="2:23" x14ac:dyDescent="0.25">
      <c r="D30" s="49" t="s">
        <v>28</v>
      </c>
      <c r="E30" s="68"/>
      <c r="F30" s="71"/>
      <c r="G30" s="72"/>
      <c r="H30" s="458"/>
      <c r="I30" s="322"/>
      <c r="J30" s="322"/>
      <c r="K30" s="322"/>
      <c r="L30" s="320"/>
      <c r="M30" s="50"/>
      <c r="N30" s="433"/>
      <c r="O30" s="431"/>
      <c r="P30" s="429"/>
      <c r="Q30" s="69"/>
      <c r="R30" s="71"/>
      <c r="S30" s="320"/>
      <c r="T30" s="69"/>
      <c r="U30" s="71"/>
      <c r="V30" s="72"/>
      <c r="W30" s="320"/>
    </row>
    <row r="31" spans="2:23" x14ac:dyDescent="0.25">
      <c r="D31" s="49" t="s">
        <v>29</v>
      </c>
      <c r="E31" s="68"/>
      <c r="F31" s="71"/>
      <c r="G31" s="72"/>
      <c r="H31" s="458"/>
      <c r="I31" s="322"/>
      <c r="J31" s="322"/>
      <c r="K31" s="322"/>
      <c r="L31" s="320"/>
      <c r="M31" s="50"/>
      <c r="N31" s="433"/>
      <c r="O31" s="431"/>
      <c r="P31" s="429"/>
      <c r="Q31" s="69"/>
      <c r="R31" s="71"/>
      <c r="S31" s="320"/>
      <c r="T31" s="69"/>
      <c r="U31" s="71"/>
      <c r="V31" s="72"/>
      <c r="W31" s="320"/>
    </row>
    <row r="32" spans="2:23" x14ac:dyDescent="0.25">
      <c r="D32" s="49" t="s">
        <v>30</v>
      </c>
      <c r="E32" s="68"/>
      <c r="F32" s="73"/>
      <c r="G32" s="74"/>
      <c r="H32" s="459"/>
      <c r="I32" s="323"/>
      <c r="J32" s="323"/>
      <c r="K32" s="323"/>
      <c r="L32" s="321"/>
      <c r="M32" s="50"/>
      <c r="N32" s="447"/>
      <c r="O32" s="445"/>
      <c r="P32" s="430"/>
      <c r="Q32" s="50"/>
      <c r="R32" s="73"/>
      <c r="S32" s="321"/>
      <c r="T32" s="69"/>
      <c r="U32" s="73"/>
      <c r="V32" s="74"/>
      <c r="W32" s="321"/>
    </row>
    <row r="33" spans="2:23" x14ac:dyDescent="0.25">
      <c r="B33" s="52"/>
      <c r="C33" s="52"/>
      <c r="D33" s="53"/>
      <c r="E33" s="75"/>
      <c r="F33" s="54">
        <f>SUM(F21:F32)</f>
        <v>0</v>
      </c>
      <c r="G33" s="54">
        <f t="shared" ref="G33:L33" si="4">SUM(G21:G32)</f>
        <v>0</v>
      </c>
      <c r="H33" s="54">
        <f t="shared" si="4"/>
        <v>201.6</v>
      </c>
      <c r="I33" s="54">
        <f t="shared" si="4"/>
        <v>0</v>
      </c>
      <c r="J33" s="54">
        <f t="shared" si="4"/>
        <v>0</v>
      </c>
      <c r="K33" s="54">
        <f t="shared" si="4"/>
        <v>0</v>
      </c>
      <c r="L33" s="54">
        <f t="shared" si="4"/>
        <v>0</v>
      </c>
      <c r="M33" s="54"/>
      <c r="N33" s="54">
        <f>SUM(N21:N32)</f>
        <v>13004.95</v>
      </c>
      <c r="O33" s="54"/>
      <c r="P33" s="54">
        <f>SUM(P21:P32)</f>
        <v>34168.89</v>
      </c>
      <c r="Q33" s="54"/>
      <c r="R33" s="54">
        <f t="shared" ref="R33:S33" si="5">SUM(R21:R32)</f>
        <v>0</v>
      </c>
      <c r="S33" s="54">
        <f t="shared" si="5"/>
        <v>0</v>
      </c>
      <c r="T33" s="55"/>
      <c r="U33" s="54">
        <f t="shared" ref="U33:W33" si="6">SUM(U21:U32)</f>
        <v>0</v>
      </c>
      <c r="V33" s="54">
        <f t="shared" si="6"/>
        <v>0</v>
      </c>
      <c r="W33" s="54">
        <f t="shared" si="6"/>
        <v>0</v>
      </c>
    </row>
    <row r="34" spans="2:23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41344.356899999999</v>
      </c>
      <c r="Q34" s="51"/>
      <c r="R34" s="59">
        <v>0.15</v>
      </c>
      <c r="S34" s="60">
        <f>S33*(1+R34)</f>
        <v>0</v>
      </c>
      <c r="T34" s="51"/>
      <c r="U34" s="59">
        <v>0.21</v>
      </c>
      <c r="V34" s="51"/>
      <c r="W34" s="60">
        <f>W33*(1+U34)</f>
        <v>0</v>
      </c>
    </row>
    <row r="35" spans="2:23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80"/>
      <c r="R35" s="78"/>
      <c r="S35" s="78"/>
      <c r="T35" s="80"/>
      <c r="W35" s="78"/>
    </row>
    <row r="36" spans="2:23" x14ac:dyDescent="0.25">
      <c r="D36" s="49" t="s">
        <v>19</v>
      </c>
      <c r="E36" s="68"/>
      <c r="F36" s="343"/>
      <c r="G36" s="344"/>
      <c r="H36" s="431">
        <v>223.2</v>
      </c>
      <c r="I36" s="431">
        <v>103156.34</v>
      </c>
      <c r="J36" s="82"/>
      <c r="K36" s="82"/>
      <c r="L36" s="83"/>
      <c r="M36" s="81"/>
      <c r="N36" s="433">
        <f t="shared" ref="N36" si="7">+O36</f>
        <v>4014.2999999999997</v>
      </c>
      <c r="O36" s="431">
        <f>2518.7+1495.6</f>
        <v>4014.2999999999997</v>
      </c>
      <c r="P36" s="429">
        <f>+(1530+4351.73+91.17+400.27+1987.08+19.74)+(2904.06+1097.77+113.6)</f>
        <v>12495.42</v>
      </c>
      <c r="Q36" s="69"/>
      <c r="R36" s="343"/>
      <c r="S36" s="342"/>
      <c r="T36" s="70"/>
      <c r="U36" s="343"/>
      <c r="V36" s="344"/>
      <c r="W36" s="342"/>
    </row>
    <row r="37" spans="2:23" x14ac:dyDescent="0.25">
      <c r="D37" s="49" t="s">
        <v>20</v>
      </c>
      <c r="E37" s="68"/>
      <c r="F37" s="71"/>
      <c r="G37" s="72"/>
      <c r="H37" s="431"/>
      <c r="I37" s="431"/>
      <c r="J37" s="84"/>
      <c r="K37" s="84"/>
      <c r="L37" s="85"/>
      <c r="M37" s="81"/>
      <c r="N37" s="433"/>
      <c r="O37" s="431"/>
      <c r="P37" s="429"/>
      <c r="Q37" s="69"/>
      <c r="R37" s="71"/>
      <c r="S37" s="320"/>
      <c r="T37" s="69"/>
      <c r="U37" s="71"/>
      <c r="V37" s="72"/>
      <c r="W37" s="320"/>
    </row>
    <row r="38" spans="2:23" x14ac:dyDescent="0.25">
      <c r="D38" s="49" t="s">
        <v>21</v>
      </c>
      <c r="E38" s="68"/>
      <c r="F38" s="71"/>
      <c r="G38" s="72"/>
      <c r="H38" s="431"/>
      <c r="I38" s="431"/>
      <c r="J38" s="84"/>
      <c r="K38" s="84"/>
      <c r="L38" s="85"/>
      <c r="M38" s="81"/>
      <c r="N38" s="434"/>
      <c r="O38" s="432"/>
      <c r="P38" s="435"/>
      <c r="Q38" s="69"/>
      <c r="R38" s="71"/>
      <c r="S38" s="320"/>
      <c r="T38" s="69"/>
      <c r="U38" s="71"/>
      <c r="V38" s="72"/>
      <c r="W38" s="320"/>
    </row>
    <row r="39" spans="2:23" x14ac:dyDescent="0.25">
      <c r="D39" s="49" t="s">
        <v>22</v>
      </c>
      <c r="E39" s="68"/>
      <c r="F39" s="71"/>
      <c r="G39" s="72"/>
      <c r="H39" s="431"/>
      <c r="I39" s="431"/>
      <c r="J39" s="84"/>
      <c r="K39" s="84"/>
      <c r="L39" s="85"/>
      <c r="M39" s="81"/>
      <c r="N39" s="446">
        <f>+O39</f>
        <v>9819.5</v>
      </c>
      <c r="O39" s="444">
        <f>6616.1+3203.4</f>
        <v>9819.5</v>
      </c>
      <c r="P39" s="428">
        <v>32372.9</v>
      </c>
      <c r="Q39" s="69"/>
      <c r="R39" s="71"/>
      <c r="S39" s="320"/>
      <c r="T39" s="69"/>
      <c r="U39" s="71"/>
      <c r="V39" s="72"/>
      <c r="W39" s="320"/>
    </row>
    <row r="40" spans="2:23" x14ac:dyDescent="0.25">
      <c r="D40" s="49" t="s">
        <v>23</v>
      </c>
      <c r="E40" s="68"/>
      <c r="F40" s="71"/>
      <c r="G40" s="72"/>
      <c r="H40" s="431"/>
      <c r="I40" s="431"/>
      <c r="J40" s="84"/>
      <c r="K40" s="84"/>
      <c r="L40" s="85"/>
      <c r="M40" s="81"/>
      <c r="N40" s="433"/>
      <c r="O40" s="431"/>
      <c r="P40" s="429"/>
      <c r="Q40" s="69"/>
      <c r="R40" s="71"/>
      <c r="S40" s="320"/>
      <c r="T40" s="69"/>
      <c r="U40" s="71"/>
      <c r="V40" s="72"/>
      <c r="W40" s="320"/>
    </row>
    <row r="41" spans="2:23" x14ac:dyDescent="0.25">
      <c r="D41" s="49" t="s">
        <v>24</v>
      </c>
      <c r="E41" s="68"/>
      <c r="F41" s="71"/>
      <c r="G41" s="72"/>
      <c r="H41" s="431"/>
      <c r="I41" s="431"/>
      <c r="J41" s="84"/>
      <c r="K41" s="84"/>
      <c r="L41" s="85"/>
      <c r="M41" s="81"/>
      <c r="N41" s="433"/>
      <c r="O41" s="431"/>
      <c r="P41" s="429"/>
      <c r="Q41" s="69"/>
      <c r="R41" s="71"/>
      <c r="S41" s="320"/>
      <c r="T41" s="69"/>
      <c r="U41" s="71"/>
      <c r="V41" s="72"/>
      <c r="W41" s="320"/>
    </row>
    <row r="42" spans="2:23" x14ac:dyDescent="0.25">
      <c r="D42" s="49" t="s">
        <v>25</v>
      </c>
      <c r="E42" s="68"/>
      <c r="F42" s="71"/>
      <c r="G42" s="72"/>
      <c r="H42" s="431"/>
      <c r="I42" s="431"/>
      <c r="J42" s="84"/>
      <c r="K42" s="84"/>
      <c r="L42" s="85"/>
      <c r="M42" s="81"/>
      <c r="N42" s="433"/>
      <c r="O42" s="431"/>
      <c r="P42" s="429"/>
      <c r="Q42" s="69"/>
      <c r="R42" s="71"/>
      <c r="S42" s="320"/>
      <c r="T42" s="69"/>
      <c r="U42" s="71"/>
      <c r="V42" s="72"/>
      <c r="W42" s="320"/>
    </row>
    <row r="43" spans="2:23" x14ac:dyDescent="0.25">
      <c r="D43" s="49" t="s">
        <v>26</v>
      </c>
      <c r="E43" s="68"/>
      <c r="F43" s="71"/>
      <c r="G43" s="72"/>
      <c r="H43" s="431"/>
      <c r="I43" s="431"/>
      <c r="J43" s="84"/>
      <c r="K43" s="84"/>
      <c r="L43" s="85"/>
      <c r="M43" s="81"/>
      <c r="N43" s="433"/>
      <c r="O43" s="431"/>
      <c r="P43" s="429"/>
      <c r="Q43" s="69"/>
      <c r="R43" s="71"/>
      <c r="S43" s="320"/>
      <c r="T43" s="69"/>
      <c r="U43" s="71"/>
      <c r="V43" s="72"/>
      <c r="W43" s="320"/>
    </row>
    <row r="44" spans="2:23" x14ac:dyDescent="0.25">
      <c r="D44" s="49" t="s">
        <v>27</v>
      </c>
      <c r="E44" s="68"/>
      <c r="F44" s="71"/>
      <c r="G44" s="72"/>
      <c r="H44" s="431"/>
      <c r="I44" s="431"/>
      <c r="J44" s="84"/>
      <c r="K44" s="84"/>
      <c r="L44" s="85"/>
      <c r="M44" s="81"/>
      <c r="N44" s="433"/>
      <c r="O44" s="431"/>
      <c r="P44" s="429"/>
      <c r="Q44" s="69"/>
      <c r="R44" s="71"/>
      <c r="S44" s="320"/>
      <c r="T44" s="69"/>
      <c r="U44" s="71"/>
      <c r="V44" s="72"/>
      <c r="W44" s="320"/>
    </row>
    <row r="45" spans="2:23" x14ac:dyDescent="0.25">
      <c r="D45" s="49" t="s">
        <v>28</v>
      </c>
      <c r="E45" s="68"/>
      <c r="F45" s="71"/>
      <c r="G45" s="72"/>
      <c r="H45" s="431"/>
      <c r="I45" s="431"/>
      <c r="J45" s="84"/>
      <c r="K45" s="84"/>
      <c r="L45" s="85"/>
      <c r="M45" s="81"/>
      <c r="N45" s="433"/>
      <c r="O45" s="431"/>
      <c r="P45" s="429"/>
      <c r="Q45" s="69"/>
      <c r="R45" s="71"/>
      <c r="S45" s="320"/>
      <c r="T45" s="69"/>
      <c r="U45" s="71"/>
      <c r="V45" s="72"/>
      <c r="W45" s="320"/>
    </row>
    <row r="46" spans="2:23" x14ac:dyDescent="0.25">
      <c r="D46" s="49" t="s">
        <v>29</v>
      </c>
      <c r="E46" s="68"/>
      <c r="F46" s="71"/>
      <c r="G46" s="72"/>
      <c r="H46" s="431"/>
      <c r="I46" s="431"/>
      <c r="J46" s="84"/>
      <c r="K46" s="84"/>
      <c r="L46" s="85"/>
      <c r="M46" s="81"/>
      <c r="N46" s="433"/>
      <c r="O46" s="431"/>
      <c r="P46" s="429"/>
      <c r="Q46" s="69"/>
      <c r="R46" s="71"/>
      <c r="S46" s="320"/>
      <c r="T46" s="69"/>
      <c r="U46" s="71"/>
      <c r="V46" s="72"/>
      <c r="W46" s="320"/>
    </row>
    <row r="47" spans="2:23" x14ac:dyDescent="0.25">
      <c r="D47" s="49" t="s">
        <v>30</v>
      </c>
      <c r="E47" s="68"/>
      <c r="F47" s="73"/>
      <c r="G47" s="74"/>
      <c r="H47" s="445"/>
      <c r="I47" s="445"/>
      <c r="J47" s="86"/>
      <c r="K47" s="86"/>
      <c r="L47" s="87"/>
      <c r="M47" s="81"/>
      <c r="N47" s="447"/>
      <c r="O47" s="445"/>
      <c r="P47" s="430"/>
      <c r="Q47" s="50"/>
      <c r="R47" s="73"/>
      <c r="S47" s="321"/>
      <c r="T47" s="69"/>
      <c r="U47" s="73"/>
      <c r="V47" s="74"/>
      <c r="W47" s="321"/>
    </row>
    <row r="48" spans="2:23" x14ac:dyDescent="0.25">
      <c r="B48" s="52"/>
      <c r="C48" s="52"/>
      <c r="D48" s="53"/>
      <c r="E48" s="75"/>
      <c r="F48" s="54">
        <f>SUM(F36:F47)</f>
        <v>0</v>
      </c>
      <c r="G48" s="54">
        <f t="shared" ref="G48:L48" si="8">SUM(G36:G47)</f>
        <v>0</v>
      </c>
      <c r="H48" s="54">
        <f t="shared" si="8"/>
        <v>223.2</v>
      </c>
      <c r="I48" s="54">
        <f t="shared" si="8"/>
        <v>103156.34</v>
      </c>
      <c r="J48" s="54">
        <f t="shared" si="8"/>
        <v>0</v>
      </c>
      <c r="K48" s="54">
        <f t="shared" si="8"/>
        <v>0</v>
      </c>
      <c r="L48" s="54">
        <f t="shared" si="8"/>
        <v>0</v>
      </c>
      <c r="M48" s="54"/>
      <c r="N48" s="54">
        <f>SUM(N36:N47)</f>
        <v>13833.8</v>
      </c>
      <c r="O48" s="54"/>
      <c r="P48" s="54">
        <f>SUM(P36:P47)</f>
        <v>44868.32</v>
      </c>
      <c r="Q48" s="54"/>
      <c r="R48" s="54">
        <f t="shared" ref="R48:S48" si="9">SUM(R36:R47)</f>
        <v>0</v>
      </c>
      <c r="S48" s="54">
        <f t="shared" si="9"/>
        <v>0</v>
      </c>
      <c r="T48" s="55"/>
      <c r="U48" s="54">
        <f t="shared" ref="U48:W48" si="10">SUM(U36:U47)</f>
        <v>0</v>
      </c>
      <c r="V48" s="54">
        <f t="shared" si="10"/>
        <v>0</v>
      </c>
      <c r="W48" s="54">
        <f t="shared" si="10"/>
        <v>0</v>
      </c>
    </row>
    <row r="49" spans="1:23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118629.79099999998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54290.667199999996</v>
      </c>
      <c r="Q49" s="51"/>
      <c r="R49" s="59">
        <v>0.15</v>
      </c>
      <c r="S49" s="60">
        <f>S48*(1+R49)</f>
        <v>0</v>
      </c>
      <c r="T49" s="51"/>
      <c r="U49" s="59">
        <v>0.21</v>
      </c>
      <c r="V49" s="51"/>
      <c r="W49" s="60">
        <f>W48*(1+U49)</f>
        <v>0</v>
      </c>
    </row>
    <row r="51" spans="1:23" x14ac:dyDescent="0.25">
      <c r="B51" s="41" t="s">
        <v>36</v>
      </c>
      <c r="P51" s="43"/>
      <c r="Q51" s="88"/>
      <c r="R51" s="43"/>
      <c r="S51" s="43"/>
      <c r="T51" s="88"/>
      <c r="U51" s="43"/>
      <c r="V51" s="43"/>
      <c r="W51" s="43"/>
    </row>
    <row r="52" spans="1:23" x14ac:dyDescent="0.25">
      <c r="B52" s="89" t="s">
        <v>220</v>
      </c>
    </row>
    <row r="53" spans="1:23" x14ac:dyDescent="0.25">
      <c r="B53" s="329" t="s">
        <v>201</v>
      </c>
    </row>
    <row r="55" spans="1:23" x14ac:dyDescent="0.25">
      <c r="A55" s="89"/>
      <c r="B55" s="89"/>
    </row>
    <row r="56" spans="1:23" x14ac:dyDescent="0.25">
      <c r="B56" s="89"/>
    </row>
    <row r="57" spans="1:23" x14ac:dyDescent="0.25">
      <c r="B57" s="91"/>
    </row>
    <row r="58" spans="1:23" x14ac:dyDescent="0.25">
      <c r="B58" s="91"/>
    </row>
    <row r="59" spans="1:23" x14ac:dyDescent="0.25">
      <c r="B59" s="91"/>
    </row>
    <row r="60" spans="1:23" x14ac:dyDescent="0.25">
      <c r="B60" s="91"/>
    </row>
    <row r="61" spans="1:23" x14ac:dyDescent="0.25">
      <c r="B61" s="91"/>
    </row>
  </sheetData>
  <mergeCells count="30">
    <mergeCell ref="O39:O47"/>
    <mergeCell ref="P36:P38"/>
    <mergeCell ref="P39:P47"/>
    <mergeCell ref="N24:N32"/>
    <mergeCell ref="O24:O32"/>
    <mergeCell ref="P24:P32"/>
    <mergeCell ref="O9:O17"/>
    <mergeCell ref="N6:N8"/>
    <mergeCell ref="O6:O8"/>
    <mergeCell ref="N36:N38"/>
    <mergeCell ref="O36:O38"/>
    <mergeCell ref="N21:N23"/>
    <mergeCell ref="O21:O23"/>
    <mergeCell ref="H6:H17"/>
    <mergeCell ref="H21:H32"/>
    <mergeCell ref="H36:H47"/>
    <mergeCell ref="I36:I47"/>
    <mergeCell ref="N9:N17"/>
    <mergeCell ref="N39:N47"/>
    <mergeCell ref="D2:D4"/>
    <mergeCell ref="F2:L2"/>
    <mergeCell ref="N2:P2"/>
    <mergeCell ref="R2:S2"/>
    <mergeCell ref="U2:W2"/>
    <mergeCell ref="F3:G3"/>
    <mergeCell ref="H3:I3"/>
    <mergeCell ref="J3:L3"/>
    <mergeCell ref="N3:P3"/>
    <mergeCell ref="R3:S3"/>
    <mergeCell ref="U3:W3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Y61"/>
  <sheetViews>
    <sheetView zoomScaleNormal="100" workbookViewId="0">
      <pane ySplit="4" topLeftCell="A20" activePane="bottomLeft" state="frozen"/>
      <selection pane="bottomLeft" activeCell="L56" sqref="L56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6" width="12.7109375" style="40" hidden="1" customWidth="1" outlineLevel="1"/>
    <col min="17" max="17" width="12.7109375" style="40" customWidth="1" collapsed="1"/>
    <col min="18" max="18" width="3.28515625" style="42" customWidth="1"/>
    <col min="19" max="19" width="14" style="40" customWidth="1"/>
    <col min="20" max="20" width="15" style="40" hidden="1" customWidth="1" outlineLevel="1"/>
    <col min="21" max="21" width="14" style="40" customWidth="1" collapsed="1"/>
    <col min="22" max="22" width="3.28515625" style="42" customWidth="1"/>
    <col min="23" max="266" width="10.140625" style="40"/>
    <col min="267" max="279" width="14" style="40" customWidth="1"/>
    <col min="280" max="522" width="10.140625" style="40"/>
    <col min="523" max="535" width="14" style="40" customWidth="1"/>
    <col min="536" max="778" width="10.140625" style="40"/>
    <col min="779" max="791" width="14" style="40" customWidth="1"/>
    <col min="792" max="1034" width="10.140625" style="40"/>
    <col min="1035" max="1047" width="14" style="40" customWidth="1"/>
    <col min="1048" max="1290" width="10.140625" style="40"/>
    <col min="1291" max="1303" width="14" style="40" customWidth="1"/>
    <col min="1304" max="1546" width="10.140625" style="40"/>
    <col min="1547" max="1559" width="14" style="40" customWidth="1"/>
    <col min="1560" max="1802" width="10.140625" style="40"/>
    <col min="1803" max="1815" width="14" style="40" customWidth="1"/>
    <col min="1816" max="2058" width="10.140625" style="40"/>
    <col min="2059" max="2071" width="14" style="40" customWidth="1"/>
    <col min="2072" max="2314" width="10.140625" style="40"/>
    <col min="2315" max="2327" width="14" style="40" customWidth="1"/>
    <col min="2328" max="2570" width="10.140625" style="40"/>
    <col min="2571" max="2583" width="14" style="40" customWidth="1"/>
    <col min="2584" max="2826" width="10.140625" style="40"/>
    <col min="2827" max="2839" width="14" style="40" customWidth="1"/>
    <col min="2840" max="3082" width="10.140625" style="40"/>
    <col min="3083" max="3095" width="14" style="40" customWidth="1"/>
    <col min="3096" max="3338" width="10.140625" style="40"/>
    <col min="3339" max="3351" width="14" style="40" customWidth="1"/>
    <col min="3352" max="3594" width="10.140625" style="40"/>
    <col min="3595" max="3607" width="14" style="40" customWidth="1"/>
    <col min="3608" max="3850" width="10.140625" style="40"/>
    <col min="3851" max="3863" width="14" style="40" customWidth="1"/>
    <col min="3864" max="4106" width="10.140625" style="40"/>
    <col min="4107" max="4119" width="14" style="40" customWidth="1"/>
    <col min="4120" max="4362" width="10.140625" style="40"/>
    <col min="4363" max="4375" width="14" style="40" customWidth="1"/>
    <col min="4376" max="4618" width="10.140625" style="40"/>
    <col min="4619" max="4631" width="14" style="40" customWidth="1"/>
    <col min="4632" max="4874" width="10.140625" style="40"/>
    <col min="4875" max="4887" width="14" style="40" customWidth="1"/>
    <col min="4888" max="5130" width="10.140625" style="40"/>
    <col min="5131" max="5143" width="14" style="40" customWidth="1"/>
    <col min="5144" max="5386" width="10.140625" style="40"/>
    <col min="5387" max="5399" width="14" style="40" customWidth="1"/>
    <col min="5400" max="5642" width="10.140625" style="40"/>
    <col min="5643" max="5655" width="14" style="40" customWidth="1"/>
    <col min="5656" max="5898" width="10.140625" style="40"/>
    <col min="5899" max="5911" width="14" style="40" customWidth="1"/>
    <col min="5912" max="6154" width="10.140625" style="40"/>
    <col min="6155" max="6167" width="14" style="40" customWidth="1"/>
    <col min="6168" max="6410" width="10.140625" style="40"/>
    <col min="6411" max="6423" width="14" style="40" customWidth="1"/>
    <col min="6424" max="6666" width="10.140625" style="40"/>
    <col min="6667" max="6679" width="14" style="40" customWidth="1"/>
    <col min="6680" max="6922" width="10.140625" style="40"/>
    <col min="6923" max="6935" width="14" style="40" customWidth="1"/>
    <col min="6936" max="7178" width="10.140625" style="40"/>
    <col min="7179" max="7191" width="14" style="40" customWidth="1"/>
    <col min="7192" max="7434" width="10.140625" style="40"/>
    <col min="7435" max="7447" width="14" style="40" customWidth="1"/>
    <col min="7448" max="7690" width="10.140625" style="40"/>
    <col min="7691" max="7703" width="14" style="40" customWidth="1"/>
    <col min="7704" max="7946" width="10.140625" style="40"/>
    <col min="7947" max="7959" width="14" style="40" customWidth="1"/>
    <col min="7960" max="8202" width="10.140625" style="40"/>
    <col min="8203" max="8215" width="14" style="40" customWidth="1"/>
    <col min="8216" max="8458" width="10.140625" style="40"/>
    <col min="8459" max="8471" width="14" style="40" customWidth="1"/>
    <col min="8472" max="8714" width="10.140625" style="40"/>
    <col min="8715" max="8727" width="14" style="40" customWidth="1"/>
    <col min="8728" max="8970" width="10.140625" style="40"/>
    <col min="8971" max="8983" width="14" style="40" customWidth="1"/>
    <col min="8984" max="9226" width="10.140625" style="40"/>
    <col min="9227" max="9239" width="14" style="40" customWidth="1"/>
    <col min="9240" max="9482" width="10.140625" style="40"/>
    <col min="9483" max="9495" width="14" style="40" customWidth="1"/>
    <col min="9496" max="9738" width="10.140625" style="40"/>
    <col min="9739" max="9751" width="14" style="40" customWidth="1"/>
    <col min="9752" max="9994" width="10.140625" style="40"/>
    <col min="9995" max="10007" width="14" style="40" customWidth="1"/>
    <col min="10008" max="10250" width="10.140625" style="40"/>
    <col min="10251" max="10263" width="14" style="40" customWidth="1"/>
    <col min="10264" max="10506" width="10.140625" style="40"/>
    <col min="10507" max="10519" width="14" style="40" customWidth="1"/>
    <col min="10520" max="10762" width="10.140625" style="40"/>
    <col min="10763" max="10775" width="14" style="40" customWidth="1"/>
    <col min="10776" max="11018" width="10.140625" style="40"/>
    <col min="11019" max="11031" width="14" style="40" customWidth="1"/>
    <col min="11032" max="11274" width="10.140625" style="40"/>
    <col min="11275" max="11287" width="14" style="40" customWidth="1"/>
    <col min="11288" max="11530" width="10.140625" style="40"/>
    <col min="11531" max="11543" width="14" style="40" customWidth="1"/>
    <col min="11544" max="11786" width="10.140625" style="40"/>
    <col min="11787" max="11799" width="14" style="40" customWidth="1"/>
    <col min="11800" max="12042" width="10.140625" style="40"/>
    <col min="12043" max="12055" width="14" style="40" customWidth="1"/>
    <col min="12056" max="12298" width="10.140625" style="40"/>
    <col min="12299" max="12311" width="14" style="40" customWidth="1"/>
    <col min="12312" max="12554" width="10.140625" style="40"/>
    <col min="12555" max="12567" width="14" style="40" customWidth="1"/>
    <col min="12568" max="12810" width="10.140625" style="40"/>
    <col min="12811" max="12823" width="14" style="40" customWidth="1"/>
    <col min="12824" max="13066" width="10.140625" style="40"/>
    <col min="13067" max="13079" width="14" style="40" customWidth="1"/>
    <col min="13080" max="13322" width="10.140625" style="40"/>
    <col min="13323" max="13335" width="14" style="40" customWidth="1"/>
    <col min="13336" max="13578" width="10.140625" style="40"/>
    <col min="13579" max="13591" width="14" style="40" customWidth="1"/>
    <col min="13592" max="13834" width="10.140625" style="40"/>
    <col min="13835" max="13847" width="14" style="40" customWidth="1"/>
    <col min="13848" max="14090" width="10.140625" style="40"/>
    <col min="14091" max="14103" width="14" style="40" customWidth="1"/>
    <col min="14104" max="14346" width="10.140625" style="40"/>
    <col min="14347" max="14359" width="14" style="40" customWidth="1"/>
    <col min="14360" max="14602" width="10.140625" style="40"/>
    <col min="14603" max="14615" width="14" style="40" customWidth="1"/>
    <col min="14616" max="14858" width="10.140625" style="40"/>
    <col min="14859" max="14871" width="14" style="40" customWidth="1"/>
    <col min="14872" max="15114" width="10.140625" style="40"/>
    <col min="15115" max="15127" width="14" style="40" customWidth="1"/>
    <col min="15128" max="15370" width="10.140625" style="40"/>
    <col min="15371" max="15383" width="14" style="40" customWidth="1"/>
    <col min="15384" max="15626" width="10.140625" style="40"/>
    <col min="15627" max="15639" width="14" style="40" customWidth="1"/>
    <col min="15640" max="15882" width="10.140625" style="40"/>
    <col min="15883" max="15895" width="14" style="40" customWidth="1"/>
    <col min="15896" max="16138" width="10.140625" style="40"/>
    <col min="16139" max="16151" width="14" style="40" customWidth="1"/>
    <col min="16152" max="16384" width="10.140625" style="40"/>
  </cols>
  <sheetData>
    <row r="1" spans="2:25" ht="4.5" customHeight="1" x14ac:dyDescent="0.25"/>
    <row r="2" spans="2:25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51"/>
      <c r="R2" s="44"/>
      <c r="S2" s="452" t="s">
        <v>12</v>
      </c>
      <c r="T2" s="452"/>
      <c r="U2" s="452"/>
      <c r="V2" s="40"/>
      <c r="W2" s="453" t="s">
        <v>11</v>
      </c>
      <c r="X2" s="453"/>
      <c r="Y2" s="453"/>
    </row>
    <row r="3" spans="2:25" ht="15" customHeight="1" x14ac:dyDescent="0.25">
      <c r="B3" s="45" t="str">
        <f ca="1">MID(CELL("filename",A8),FIND("]",CELL("filename",A8))+1,LEN(CELL("filename",A8))-FIND("]",CELL("filename",A8)))</f>
        <v>03 Jídelna ZŠ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55"/>
      <c r="R3" s="46"/>
      <c r="S3" s="456" t="s">
        <v>3</v>
      </c>
      <c r="T3" s="456"/>
      <c r="U3" s="456"/>
      <c r="V3" s="40"/>
      <c r="W3" s="457" t="s">
        <v>3</v>
      </c>
      <c r="X3" s="457"/>
      <c r="Y3" s="457"/>
    </row>
    <row r="4" spans="2:25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60" t="s">
        <v>161</v>
      </c>
      <c r="P4" s="460"/>
      <c r="Q4" s="36" t="s">
        <v>8</v>
      </c>
      <c r="R4" s="48"/>
      <c r="S4" s="327" t="s">
        <v>14</v>
      </c>
      <c r="T4" s="359" t="s">
        <v>162</v>
      </c>
      <c r="U4" s="37" t="s">
        <v>8</v>
      </c>
      <c r="V4" s="40"/>
      <c r="W4" s="38" t="s">
        <v>2</v>
      </c>
      <c r="X4" s="38" t="s">
        <v>14</v>
      </c>
      <c r="Y4" s="39" t="s">
        <v>8</v>
      </c>
    </row>
    <row r="5" spans="2:25" ht="4.5" customHeight="1" x14ac:dyDescent="0.25">
      <c r="D5" s="63"/>
      <c r="E5" s="79"/>
      <c r="F5" s="41"/>
      <c r="G5" s="41"/>
    </row>
    <row r="6" spans="2:25" x14ac:dyDescent="0.25">
      <c r="B6" s="41"/>
      <c r="C6" s="41"/>
      <c r="D6" s="49" t="s">
        <v>19</v>
      </c>
      <c r="E6" s="68"/>
      <c r="F6" s="433">
        <v>342</v>
      </c>
      <c r="G6" s="344"/>
      <c r="H6" s="340"/>
      <c r="I6" s="340"/>
      <c r="J6" s="340"/>
      <c r="K6" s="340"/>
      <c r="L6" s="342"/>
      <c r="M6" s="50"/>
      <c r="N6" s="343">
        <f t="shared" ref="N6:N17" si="0">+O6</f>
        <v>5596</v>
      </c>
      <c r="O6" s="344">
        <v>5596</v>
      </c>
      <c r="P6" s="344">
        <v>18387.580000000002</v>
      </c>
      <c r="Q6" s="360">
        <f>P6</f>
        <v>18387.580000000002</v>
      </c>
      <c r="R6" s="69"/>
      <c r="S6" s="433">
        <f>+T6</f>
        <v>550</v>
      </c>
      <c r="T6" s="431">
        <v>550</v>
      </c>
      <c r="U6" s="429">
        <v>43815.32</v>
      </c>
      <c r="V6" s="70"/>
      <c r="W6" s="343"/>
      <c r="X6" s="344"/>
      <c r="Y6" s="342"/>
    </row>
    <row r="7" spans="2:25" x14ac:dyDescent="0.25">
      <c r="B7" s="41"/>
      <c r="C7" s="41"/>
      <c r="D7" s="49" t="s">
        <v>20</v>
      </c>
      <c r="E7" s="68"/>
      <c r="F7" s="433"/>
      <c r="G7" s="72"/>
      <c r="H7" s="322"/>
      <c r="I7" s="322"/>
      <c r="J7" s="322"/>
      <c r="K7" s="322"/>
      <c r="L7" s="320"/>
      <c r="M7" s="50"/>
      <c r="N7" s="71">
        <f t="shared" si="0"/>
        <v>4884</v>
      </c>
      <c r="O7" s="72">
        <v>4884</v>
      </c>
      <c r="P7" s="72">
        <v>16478.37</v>
      </c>
      <c r="Q7" s="320">
        <f t="shared" ref="Q7:Q17" si="1">P7</f>
        <v>16478.37</v>
      </c>
      <c r="R7" s="69"/>
      <c r="S7" s="433"/>
      <c r="T7" s="431"/>
      <c r="U7" s="429"/>
      <c r="V7" s="69"/>
      <c r="W7" s="71"/>
      <c r="X7" s="72"/>
      <c r="Y7" s="320"/>
    </row>
    <row r="8" spans="2:25" x14ac:dyDescent="0.25">
      <c r="B8" s="41"/>
      <c r="C8" s="41"/>
      <c r="D8" s="49" t="s">
        <v>21</v>
      </c>
      <c r="E8" s="68"/>
      <c r="F8" s="433"/>
      <c r="G8" s="72"/>
      <c r="H8" s="322"/>
      <c r="I8" s="322"/>
      <c r="J8" s="322"/>
      <c r="K8" s="322"/>
      <c r="L8" s="320"/>
      <c r="M8" s="50"/>
      <c r="N8" s="71">
        <f t="shared" si="0"/>
        <v>5661</v>
      </c>
      <c r="O8" s="72">
        <v>5661</v>
      </c>
      <c r="P8" s="72">
        <v>18323.13</v>
      </c>
      <c r="Q8" s="320">
        <f t="shared" si="1"/>
        <v>18323.13</v>
      </c>
      <c r="R8" s="69"/>
      <c r="S8" s="433"/>
      <c r="T8" s="431"/>
      <c r="U8" s="429"/>
      <c r="V8" s="69"/>
      <c r="W8" s="71"/>
      <c r="X8" s="72"/>
      <c r="Y8" s="320"/>
    </row>
    <row r="9" spans="2:25" x14ac:dyDescent="0.25">
      <c r="B9" s="41"/>
      <c r="C9" s="41"/>
      <c r="D9" s="49" t="s">
        <v>22</v>
      </c>
      <c r="E9" s="68"/>
      <c r="F9" s="433"/>
      <c r="G9" s="72"/>
      <c r="H9" s="322"/>
      <c r="I9" s="322"/>
      <c r="J9" s="322"/>
      <c r="K9" s="322"/>
      <c r="L9" s="320"/>
      <c r="M9" s="50"/>
      <c r="N9" s="71">
        <f t="shared" si="0"/>
        <v>4910</v>
      </c>
      <c r="O9" s="72">
        <v>4910</v>
      </c>
      <c r="P9" s="72">
        <v>16416.919999999998</v>
      </c>
      <c r="Q9" s="320">
        <f t="shared" si="1"/>
        <v>16416.919999999998</v>
      </c>
      <c r="R9" s="69"/>
      <c r="S9" s="433"/>
      <c r="T9" s="431"/>
      <c r="U9" s="429"/>
      <c r="V9" s="69"/>
      <c r="W9" s="71"/>
      <c r="X9" s="72"/>
      <c r="Y9" s="320"/>
    </row>
    <row r="10" spans="2:25" x14ac:dyDescent="0.25">
      <c r="B10" s="41"/>
      <c r="C10" s="41"/>
      <c r="D10" s="49" t="s">
        <v>23</v>
      </c>
      <c r="E10" s="68"/>
      <c r="F10" s="433"/>
      <c r="G10" s="72"/>
      <c r="H10" s="322"/>
      <c r="I10" s="322"/>
      <c r="J10" s="322"/>
      <c r="K10" s="322"/>
      <c r="L10" s="320"/>
      <c r="M10" s="50"/>
      <c r="N10" s="71">
        <f t="shared" si="0"/>
        <v>4813</v>
      </c>
      <c r="O10" s="72">
        <v>4813</v>
      </c>
      <c r="P10" s="72">
        <v>16148.71</v>
      </c>
      <c r="Q10" s="320">
        <f t="shared" si="1"/>
        <v>16148.71</v>
      </c>
      <c r="R10" s="69"/>
      <c r="S10" s="433"/>
      <c r="T10" s="431"/>
      <c r="U10" s="429"/>
      <c r="V10" s="69"/>
      <c r="W10" s="71"/>
      <c r="X10" s="72"/>
      <c r="Y10" s="320"/>
    </row>
    <row r="11" spans="2:25" x14ac:dyDescent="0.25">
      <c r="B11" s="41"/>
      <c r="C11" s="41"/>
      <c r="D11" s="49" t="s">
        <v>24</v>
      </c>
      <c r="E11" s="68"/>
      <c r="F11" s="433"/>
      <c r="G11" s="72"/>
      <c r="H11" s="322"/>
      <c r="I11" s="322"/>
      <c r="J11" s="322"/>
      <c r="K11" s="322"/>
      <c r="L11" s="320"/>
      <c r="M11" s="50"/>
      <c r="N11" s="71">
        <f t="shared" si="0"/>
        <v>4995</v>
      </c>
      <c r="O11" s="72">
        <v>4995</v>
      </c>
      <c r="P11" s="72">
        <v>16750.2</v>
      </c>
      <c r="Q11" s="320">
        <f t="shared" si="1"/>
        <v>16750.2</v>
      </c>
      <c r="R11" s="69"/>
      <c r="S11" s="433"/>
      <c r="T11" s="431"/>
      <c r="U11" s="429"/>
      <c r="V11" s="69"/>
      <c r="W11" s="71"/>
      <c r="X11" s="72"/>
      <c r="Y11" s="320"/>
    </row>
    <row r="12" spans="2:25" x14ac:dyDescent="0.25">
      <c r="B12" s="41"/>
      <c r="C12" s="41"/>
      <c r="D12" s="49" t="s">
        <v>25</v>
      </c>
      <c r="E12" s="68"/>
      <c r="F12" s="433"/>
      <c r="G12" s="72"/>
      <c r="H12" s="322"/>
      <c r="I12" s="322"/>
      <c r="J12" s="322"/>
      <c r="K12" s="322"/>
      <c r="L12" s="320"/>
      <c r="M12" s="50"/>
      <c r="N12" s="71">
        <f t="shared" si="0"/>
        <v>2284</v>
      </c>
      <c r="O12" s="72">
        <v>2284</v>
      </c>
      <c r="P12" s="72">
        <v>9806.5</v>
      </c>
      <c r="Q12" s="320">
        <f t="shared" si="1"/>
        <v>9806.5</v>
      </c>
      <c r="R12" s="69"/>
      <c r="S12" s="433"/>
      <c r="T12" s="431"/>
      <c r="U12" s="429"/>
      <c r="V12" s="69"/>
      <c r="W12" s="71"/>
      <c r="X12" s="72"/>
      <c r="Y12" s="320"/>
    </row>
    <row r="13" spans="2:25" x14ac:dyDescent="0.25">
      <c r="B13" s="41"/>
      <c r="C13" s="41"/>
      <c r="D13" s="49" t="s">
        <v>26</v>
      </c>
      <c r="E13" s="68"/>
      <c r="F13" s="433"/>
      <c r="G13" s="72"/>
      <c r="H13" s="322"/>
      <c r="I13" s="322"/>
      <c r="J13" s="322"/>
      <c r="K13" s="322"/>
      <c r="L13" s="320"/>
      <c r="M13" s="50"/>
      <c r="N13" s="71">
        <f t="shared" si="0"/>
        <v>2649</v>
      </c>
      <c r="O13" s="72">
        <v>2649</v>
      </c>
      <c r="P13" s="72">
        <v>10741.23</v>
      </c>
      <c r="Q13" s="320">
        <f t="shared" si="1"/>
        <v>10741.23</v>
      </c>
      <c r="R13" s="69"/>
      <c r="S13" s="433"/>
      <c r="T13" s="431"/>
      <c r="U13" s="429"/>
      <c r="V13" s="69"/>
      <c r="W13" s="71"/>
      <c r="X13" s="72"/>
      <c r="Y13" s="320"/>
    </row>
    <row r="14" spans="2:25" x14ac:dyDescent="0.25">
      <c r="B14" s="41"/>
      <c r="C14" s="41"/>
      <c r="D14" s="49" t="s">
        <v>27</v>
      </c>
      <c r="E14" s="68"/>
      <c r="F14" s="433"/>
      <c r="G14" s="72"/>
      <c r="H14" s="322"/>
      <c r="I14" s="322"/>
      <c r="J14" s="322"/>
      <c r="K14" s="322"/>
      <c r="L14" s="320"/>
      <c r="M14" s="50"/>
      <c r="N14" s="71">
        <f t="shared" si="0"/>
        <v>5357</v>
      </c>
      <c r="O14" s="72">
        <v>5357</v>
      </c>
      <c r="P14" s="72">
        <v>17777.23</v>
      </c>
      <c r="Q14" s="320">
        <f t="shared" si="1"/>
        <v>17777.23</v>
      </c>
      <c r="R14" s="69"/>
      <c r="S14" s="433"/>
      <c r="T14" s="431"/>
      <c r="U14" s="429"/>
      <c r="V14" s="69"/>
      <c r="W14" s="71"/>
      <c r="X14" s="72"/>
      <c r="Y14" s="320"/>
    </row>
    <row r="15" spans="2:25" x14ac:dyDescent="0.25">
      <c r="B15" s="41"/>
      <c r="C15" s="41"/>
      <c r="D15" s="49" t="s">
        <v>28</v>
      </c>
      <c r="E15" s="68"/>
      <c r="F15" s="433"/>
      <c r="G15" s="72"/>
      <c r="H15" s="322"/>
      <c r="I15" s="322"/>
      <c r="J15" s="322"/>
      <c r="K15" s="322"/>
      <c r="L15" s="320"/>
      <c r="M15" s="50"/>
      <c r="N15" s="71">
        <f t="shared" si="0"/>
        <v>4962</v>
      </c>
      <c r="O15" s="72">
        <v>4962</v>
      </c>
      <c r="P15" s="72">
        <v>16723.38</v>
      </c>
      <c r="Q15" s="320">
        <f t="shared" si="1"/>
        <v>16723.38</v>
      </c>
      <c r="R15" s="69"/>
      <c r="S15" s="433"/>
      <c r="T15" s="431"/>
      <c r="U15" s="429"/>
      <c r="V15" s="69"/>
      <c r="W15" s="71"/>
      <c r="X15" s="72"/>
      <c r="Y15" s="320"/>
    </row>
    <row r="16" spans="2:25" x14ac:dyDescent="0.25">
      <c r="B16" s="41"/>
      <c r="C16" s="41"/>
      <c r="D16" s="49" t="s">
        <v>29</v>
      </c>
      <c r="E16" s="68"/>
      <c r="F16" s="433"/>
      <c r="G16" s="72"/>
      <c r="H16" s="322"/>
      <c r="I16" s="322"/>
      <c r="J16" s="322"/>
      <c r="K16" s="322"/>
      <c r="L16" s="320"/>
      <c r="M16" s="50"/>
      <c r="N16" s="71">
        <f t="shared" si="0"/>
        <v>5147</v>
      </c>
      <c r="O16" s="72">
        <v>5147</v>
      </c>
      <c r="P16" s="72">
        <v>17210.240000000002</v>
      </c>
      <c r="Q16" s="320">
        <f t="shared" si="1"/>
        <v>17210.240000000002</v>
      </c>
      <c r="R16" s="69"/>
      <c r="S16" s="433"/>
      <c r="T16" s="431"/>
      <c r="U16" s="429"/>
      <c r="V16" s="69"/>
      <c r="W16" s="71"/>
      <c r="X16" s="72"/>
      <c r="Y16" s="320"/>
    </row>
    <row r="17" spans="2:25" x14ac:dyDescent="0.25">
      <c r="B17" s="41"/>
      <c r="C17" s="41"/>
      <c r="D17" s="49" t="s">
        <v>30</v>
      </c>
      <c r="E17" s="68"/>
      <c r="F17" s="447"/>
      <c r="G17" s="74"/>
      <c r="H17" s="323"/>
      <c r="I17" s="323"/>
      <c r="J17" s="323"/>
      <c r="K17" s="323"/>
      <c r="L17" s="321"/>
      <c r="M17" s="50"/>
      <c r="N17" s="73">
        <f t="shared" si="0"/>
        <v>4738</v>
      </c>
      <c r="O17" s="74">
        <v>4738</v>
      </c>
      <c r="P17" s="74">
        <v>16072.28</v>
      </c>
      <c r="Q17" s="321">
        <f t="shared" si="1"/>
        <v>16072.28</v>
      </c>
      <c r="R17" s="50"/>
      <c r="S17" s="447"/>
      <c r="T17" s="445"/>
      <c r="U17" s="430"/>
      <c r="V17" s="69"/>
      <c r="W17" s="73"/>
      <c r="X17" s="74"/>
      <c r="Y17" s="321"/>
    </row>
    <row r="18" spans="2:25" x14ac:dyDescent="0.25">
      <c r="B18" s="52"/>
      <c r="C18" s="52"/>
      <c r="D18" s="53"/>
      <c r="E18" s="75"/>
      <c r="F18" s="54">
        <f>SUM(F6:F17)</f>
        <v>342</v>
      </c>
      <c r="G18" s="54">
        <f t="shared" ref="G18:L18" si="2">SUM(G6:G17)</f>
        <v>0</v>
      </c>
      <c r="H18" s="54">
        <f t="shared" si="2"/>
        <v>0</v>
      </c>
      <c r="I18" s="54">
        <f t="shared" si="2"/>
        <v>0</v>
      </c>
      <c r="J18" s="54">
        <f t="shared" si="2"/>
        <v>0</v>
      </c>
      <c r="K18" s="54">
        <f t="shared" si="2"/>
        <v>0</v>
      </c>
      <c r="L18" s="54">
        <f t="shared" si="2"/>
        <v>0</v>
      </c>
      <c r="M18" s="65"/>
      <c r="N18" s="54">
        <f t="shared" ref="N18:Q18" si="3">SUM(N6:N17)</f>
        <v>55996</v>
      </c>
      <c r="O18" s="54"/>
      <c r="P18" s="54"/>
      <c r="Q18" s="54">
        <f t="shared" si="3"/>
        <v>190835.77</v>
      </c>
      <c r="R18" s="76"/>
      <c r="S18" s="54">
        <f>SUM(S6:S17)</f>
        <v>550</v>
      </c>
      <c r="T18" s="54"/>
      <c r="U18" s="54">
        <f>SUM(U6:U17)</f>
        <v>43815.32</v>
      </c>
      <c r="V18" s="40"/>
      <c r="W18" s="54">
        <f t="shared" ref="W18:Y18" si="4">SUM(W6:W17)</f>
        <v>0</v>
      </c>
      <c r="X18" s="54">
        <f t="shared" si="4"/>
        <v>0</v>
      </c>
      <c r="Y18" s="54">
        <f t="shared" si="4"/>
        <v>0</v>
      </c>
    </row>
    <row r="19" spans="2:25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59"/>
      <c r="Q19" s="60">
        <f>Q18*(1+N19)</f>
        <v>230911.28169999999</v>
      </c>
      <c r="R19" s="77"/>
      <c r="S19" s="59">
        <v>0.15</v>
      </c>
      <c r="T19" s="59"/>
      <c r="U19" s="60">
        <f>U18*(1+S19)</f>
        <v>50387.617999999995</v>
      </c>
      <c r="V19" s="77"/>
      <c r="W19" s="59">
        <v>0.21</v>
      </c>
      <c r="X19" s="51"/>
      <c r="Y19" s="60">
        <f>Y18*(1+W19)</f>
        <v>0</v>
      </c>
    </row>
    <row r="20" spans="2:25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78"/>
      <c r="R20" s="80"/>
      <c r="S20" s="78"/>
      <c r="T20" s="78"/>
      <c r="U20" s="78"/>
      <c r="V20" s="80"/>
      <c r="Y20" s="78"/>
    </row>
    <row r="21" spans="2:25" x14ac:dyDescent="0.25">
      <c r="D21" s="49" t="s">
        <v>19</v>
      </c>
      <c r="E21" s="68"/>
      <c r="F21" s="433">
        <v>403.2</v>
      </c>
      <c r="G21" s="344"/>
      <c r="H21" s="340"/>
      <c r="I21" s="340"/>
      <c r="J21" s="340"/>
      <c r="K21" s="340"/>
      <c r="L21" s="342"/>
      <c r="M21" s="50"/>
      <c r="N21" s="343">
        <f t="shared" ref="N21:N32" si="5">+O21</f>
        <v>5658</v>
      </c>
      <c r="O21" s="344">
        <v>5658</v>
      </c>
      <c r="P21" s="344">
        <v>18270.759999999998</v>
      </c>
      <c r="Q21" s="360">
        <f>P21</f>
        <v>18270.759999999998</v>
      </c>
      <c r="R21" s="69"/>
      <c r="S21" s="433">
        <f>+T21</f>
        <v>531</v>
      </c>
      <c r="T21" s="431">
        <v>531</v>
      </c>
      <c r="U21" s="429">
        <v>43954.1</v>
      </c>
      <c r="V21" s="70"/>
      <c r="W21" s="343"/>
      <c r="X21" s="344"/>
      <c r="Y21" s="342"/>
    </row>
    <row r="22" spans="2:25" x14ac:dyDescent="0.25">
      <c r="D22" s="49" t="s">
        <v>20</v>
      </c>
      <c r="E22" s="68"/>
      <c r="F22" s="433"/>
      <c r="G22" s="72"/>
      <c r="H22" s="322"/>
      <c r="I22" s="322"/>
      <c r="J22" s="322"/>
      <c r="K22" s="322"/>
      <c r="L22" s="320"/>
      <c r="M22" s="50"/>
      <c r="N22" s="71">
        <f t="shared" si="5"/>
        <v>5109</v>
      </c>
      <c r="O22" s="72">
        <v>5109</v>
      </c>
      <c r="P22" s="72">
        <v>17002.990000000002</v>
      </c>
      <c r="Q22" s="320">
        <f t="shared" ref="Q22:Q32" si="6">P22</f>
        <v>17002.990000000002</v>
      </c>
      <c r="R22" s="69"/>
      <c r="S22" s="433"/>
      <c r="T22" s="431"/>
      <c r="U22" s="429"/>
      <c r="V22" s="69"/>
      <c r="W22" s="71"/>
      <c r="X22" s="72"/>
      <c r="Y22" s="320"/>
    </row>
    <row r="23" spans="2:25" x14ac:dyDescent="0.25">
      <c r="D23" s="49" t="s">
        <v>21</v>
      </c>
      <c r="E23" s="68"/>
      <c r="F23" s="433"/>
      <c r="G23" s="72"/>
      <c r="H23" s="322"/>
      <c r="I23" s="322"/>
      <c r="J23" s="322"/>
      <c r="K23" s="322"/>
      <c r="L23" s="320"/>
      <c r="M23" s="50"/>
      <c r="N23" s="71">
        <f t="shared" si="5"/>
        <v>4774</v>
      </c>
      <c r="O23" s="72">
        <v>4774</v>
      </c>
      <c r="P23" s="72">
        <v>16100.02</v>
      </c>
      <c r="Q23" s="320">
        <f t="shared" si="6"/>
        <v>16100.02</v>
      </c>
      <c r="R23" s="69"/>
      <c r="S23" s="433"/>
      <c r="T23" s="431"/>
      <c r="U23" s="429"/>
      <c r="V23" s="69"/>
      <c r="W23" s="71"/>
      <c r="X23" s="72"/>
      <c r="Y23" s="320"/>
    </row>
    <row r="24" spans="2:25" x14ac:dyDescent="0.25">
      <c r="D24" s="49" t="s">
        <v>22</v>
      </c>
      <c r="E24" s="68"/>
      <c r="F24" s="433"/>
      <c r="G24" s="72"/>
      <c r="H24" s="322"/>
      <c r="I24" s="322"/>
      <c r="J24" s="322"/>
      <c r="K24" s="322"/>
      <c r="L24" s="320"/>
      <c r="M24" s="50"/>
      <c r="N24" s="71">
        <f t="shared" si="5"/>
        <v>4767</v>
      </c>
      <c r="O24" s="72">
        <v>4767</v>
      </c>
      <c r="P24" s="72">
        <v>16255.76</v>
      </c>
      <c r="Q24" s="320">
        <f t="shared" si="6"/>
        <v>16255.76</v>
      </c>
      <c r="R24" s="69"/>
      <c r="S24" s="433"/>
      <c r="T24" s="431"/>
      <c r="U24" s="429"/>
      <c r="V24" s="69"/>
      <c r="W24" s="71"/>
      <c r="X24" s="72"/>
      <c r="Y24" s="320"/>
    </row>
    <row r="25" spans="2:25" x14ac:dyDescent="0.25">
      <c r="D25" s="49" t="s">
        <v>23</v>
      </c>
      <c r="E25" s="68"/>
      <c r="F25" s="433"/>
      <c r="G25" s="72"/>
      <c r="H25" s="322"/>
      <c r="I25" s="322"/>
      <c r="J25" s="322"/>
      <c r="K25" s="322"/>
      <c r="L25" s="320"/>
      <c r="M25" s="50"/>
      <c r="N25" s="71">
        <f t="shared" si="5"/>
        <v>4760</v>
      </c>
      <c r="O25" s="72">
        <v>4760</v>
      </c>
      <c r="P25" s="72">
        <v>16237.87</v>
      </c>
      <c r="Q25" s="320">
        <f t="shared" si="6"/>
        <v>16237.87</v>
      </c>
      <c r="R25" s="69"/>
      <c r="S25" s="433"/>
      <c r="T25" s="431"/>
      <c r="U25" s="429"/>
      <c r="V25" s="69"/>
      <c r="W25" s="71"/>
      <c r="X25" s="72"/>
      <c r="Y25" s="320"/>
    </row>
    <row r="26" spans="2:25" x14ac:dyDescent="0.25">
      <c r="D26" s="49" t="s">
        <v>24</v>
      </c>
      <c r="E26" s="68"/>
      <c r="F26" s="433"/>
      <c r="G26" s="72"/>
      <c r="H26" s="322"/>
      <c r="I26" s="322"/>
      <c r="J26" s="322"/>
      <c r="K26" s="322"/>
      <c r="L26" s="320"/>
      <c r="M26" s="50"/>
      <c r="N26" s="71">
        <f t="shared" si="5"/>
        <v>4878</v>
      </c>
      <c r="O26" s="72">
        <v>4878</v>
      </c>
      <c r="P26" s="72">
        <v>16662.66</v>
      </c>
      <c r="Q26" s="320">
        <f t="shared" si="6"/>
        <v>16662.66</v>
      </c>
      <c r="R26" s="69"/>
      <c r="S26" s="433"/>
      <c r="T26" s="431"/>
      <c r="U26" s="429"/>
      <c r="V26" s="69"/>
      <c r="W26" s="71"/>
      <c r="X26" s="72"/>
      <c r="Y26" s="320"/>
    </row>
    <row r="27" spans="2:25" x14ac:dyDescent="0.25">
      <c r="D27" s="49" t="s">
        <v>25</v>
      </c>
      <c r="E27" s="68"/>
      <c r="F27" s="433"/>
      <c r="G27" s="72"/>
      <c r="H27" s="322"/>
      <c r="I27" s="322"/>
      <c r="J27" s="322"/>
      <c r="K27" s="322"/>
      <c r="L27" s="320"/>
      <c r="M27" s="50"/>
      <c r="N27" s="71">
        <f t="shared" si="5"/>
        <v>1710</v>
      </c>
      <c r="O27" s="72">
        <v>1710</v>
      </c>
      <c r="P27" s="72">
        <v>8443.89</v>
      </c>
      <c r="Q27" s="320">
        <f t="shared" si="6"/>
        <v>8443.89</v>
      </c>
      <c r="R27" s="69"/>
      <c r="S27" s="433"/>
      <c r="T27" s="431"/>
      <c r="U27" s="429"/>
      <c r="V27" s="69"/>
      <c r="W27" s="71"/>
      <c r="X27" s="72"/>
      <c r="Y27" s="320"/>
    </row>
    <row r="28" spans="2:25" x14ac:dyDescent="0.25">
      <c r="D28" s="49" t="s">
        <v>26</v>
      </c>
      <c r="E28" s="68"/>
      <c r="F28" s="433"/>
      <c r="G28" s="72"/>
      <c r="H28" s="322"/>
      <c r="I28" s="322"/>
      <c r="J28" s="322"/>
      <c r="K28" s="322"/>
      <c r="L28" s="320"/>
      <c r="M28" s="50"/>
      <c r="N28" s="71">
        <f t="shared" si="5"/>
        <v>2604</v>
      </c>
      <c r="O28" s="72">
        <v>2604</v>
      </c>
      <c r="P28" s="72">
        <v>10791.91</v>
      </c>
      <c r="Q28" s="320">
        <f t="shared" si="6"/>
        <v>10791.91</v>
      </c>
      <c r="R28" s="69"/>
      <c r="S28" s="433"/>
      <c r="T28" s="431"/>
      <c r="U28" s="429"/>
      <c r="V28" s="69"/>
      <c r="W28" s="71"/>
      <c r="X28" s="72"/>
      <c r="Y28" s="320"/>
    </row>
    <row r="29" spans="2:25" x14ac:dyDescent="0.25">
      <c r="D29" s="49" t="s">
        <v>27</v>
      </c>
      <c r="E29" s="68"/>
      <c r="F29" s="433"/>
      <c r="G29" s="72"/>
      <c r="H29" s="322"/>
      <c r="I29" s="322"/>
      <c r="J29" s="322"/>
      <c r="K29" s="322"/>
      <c r="L29" s="320"/>
      <c r="M29" s="50"/>
      <c r="N29" s="71">
        <f t="shared" si="5"/>
        <v>5180</v>
      </c>
      <c r="O29" s="72">
        <v>5180</v>
      </c>
      <c r="P29" s="72">
        <v>17538.03</v>
      </c>
      <c r="Q29" s="320">
        <f t="shared" si="6"/>
        <v>17538.03</v>
      </c>
      <c r="R29" s="69"/>
      <c r="S29" s="433"/>
      <c r="T29" s="431"/>
      <c r="U29" s="429"/>
      <c r="V29" s="69"/>
      <c r="W29" s="71"/>
      <c r="X29" s="72"/>
      <c r="Y29" s="320"/>
    </row>
    <row r="30" spans="2:25" x14ac:dyDescent="0.25">
      <c r="D30" s="49" t="s">
        <v>28</v>
      </c>
      <c r="E30" s="68"/>
      <c r="F30" s="433"/>
      <c r="G30" s="72"/>
      <c r="H30" s="322"/>
      <c r="I30" s="322"/>
      <c r="J30" s="322"/>
      <c r="K30" s="322"/>
      <c r="L30" s="320"/>
      <c r="M30" s="50"/>
      <c r="N30" s="71">
        <f t="shared" si="5"/>
        <v>4891</v>
      </c>
      <c r="O30" s="72">
        <v>4891</v>
      </c>
      <c r="P30" s="72">
        <v>17133.95</v>
      </c>
      <c r="Q30" s="320">
        <f t="shared" si="6"/>
        <v>17133.95</v>
      </c>
      <c r="R30" s="69"/>
      <c r="S30" s="433"/>
      <c r="T30" s="431"/>
      <c r="U30" s="429"/>
      <c r="V30" s="69"/>
      <c r="W30" s="71"/>
      <c r="X30" s="72"/>
      <c r="Y30" s="320"/>
    </row>
    <row r="31" spans="2:25" x14ac:dyDescent="0.25">
      <c r="D31" s="49" t="s">
        <v>29</v>
      </c>
      <c r="E31" s="68"/>
      <c r="F31" s="433"/>
      <c r="G31" s="72"/>
      <c r="H31" s="322"/>
      <c r="I31" s="322"/>
      <c r="J31" s="322"/>
      <c r="K31" s="322"/>
      <c r="L31" s="320"/>
      <c r="M31" s="50"/>
      <c r="N31" s="71">
        <f t="shared" si="5"/>
        <v>4758</v>
      </c>
      <c r="O31" s="72">
        <v>4758</v>
      </c>
      <c r="P31" s="72">
        <v>16689.490000000002</v>
      </c>
      <c r="Q31" s="320">
        <f t="shared" si="6"/>
        <v>16689.490000000002</v>
      </c>
      <c r="R31" s="69"/>
      <c r="S31" s="433"/>
      <c r="T31" s="431"/>
      <c r="U31" s="429"/>
      <c r="V31" s="69"/>
      <c r="W31" s="71"/>
      <c r="X31" s="72"/>
      <c r="Y31" s="320"/>
    </row>
    <row r="32" spans="2:25" x14ac:dyDescent="0.25">
      <c r="D32" s="49" t="s">
        <v>30</v>
      </c>
      <c r="E32" s="68"/>
      <c r="F32" s="447"/>
      <c r="G32" s="74"/>
      <c r="H32" s="323"/>
      <c r="I32" s="323"/>
      <c r="J32" s="323"/>
      <c r="K32" s="323"/>
      <c r="L32" s="321"/>
      <c r="M32" s="50"/>
      <c r="N32" s="73">
        <f t="shared" si="5"/>
        <v>3931</v>
      </c>
      <c r="O32" s="74">
        <v>3931</v>
      </c>
      <c r="P32" s="74">
        <v>14486.87</v>
      </c>
      <c r="Q32" s="321">
        <f t="shared" si="6"/>
        <v>14486.87</v>
      </c>
      <c r="R32" s="50"/>
      <c r="S32" s="447"/>
      <c r="T32" s="445"/>
      <c r="U32" s="430"/>
      <c r="V32" s="69"/>
      <c r="W32" s="73"/>
      <c r="X32" s="74"/>
      <c r="Y32" s="321"/>
    </row>
    <row r="33" spans="2:25" x14ac:dyDescent="0.25">
      <c r="B33" s="52"/>
      <c r="C33" s="52"/>
      <c r="D33" s="53"/>
      <c r="E33" s="75"/>
      <c r="F33" s="54">
        <f>SUM(F21:F32)</f>
        <v>403.2</v>
      </c>
      <c r="G33" s="54">
        <f t="shared" ref="G33:L33" si="7">SUM(G21:G32)</f>
        <v>0</v>
      </c>
      <c r="H33" s="54">
        <f t="shared" si="7"/>
        <v>0</v>
      </c>
      <c r="I33" s="54">
        <f t="shared" si="7"/>
        <v>0</v>
      </c>
      <c r="J33" s="54">
        <f t="shared" si="7"/>
        <v>0</v>
      </c>
      <c r="K33" s="54">
        <f t="shared" si="7"/>
        <v>0</v>
      </c>
      <c r="L33" s="54">
        <f t="shared" si="7"/>
        <v>0</v>
      </c>
      <c r="M33" s="54"/>
      <c r="N33" s="54">
        <f>SUM(N21:N32)</f>
        <v>53020</v>
      </c>
      <c r="O33" s="54"/>
      <c r="P33" s="54"/>
      <c r="Q33" s="54">
        <f>SUM(Q21:Q32)</f>
        <v>185614.2</v>
      </c>
      <c r="R33" s="54"/>
      <c r="S33" s="54">
        <f t="shared" ref="S33:U33" si="8">SUM(S21:S32)</f>
        <v>531</v>
      </c>
      <c r="T33" s="54"/>
      <c r="U33" s="54">
        <f t="shared" si="8"/>
        <v>43954.1</v>
      </c>
      <c r="V33" s="55"/>
      <c r="W33" s="54">
        <f t="shared" ref="W33:Y33" si="9">SUM(W21:W32)</f>
        <v>0</v>
      </c>
      <c r="X33" s="54">
        <f t="shared" si="9"/>
        <v>0</v>
      </c>
      <c r="Y33" s="54">
        <f t="shared" si="9"/>
        <v>0</v>
      </c>
    </row>
    <row r="34" spans="2:25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59"/>
      <c r="Q34" s="60">
        <f>Q33*(1+N34)</f>
        <v>224593.182</v>
      </c>
      <c r="R34" s="51"/>
      <c r="S34" s="59">
        <v>0.15</v>
      </c>
      <c r="T34" s="59"/>
      <c r="U34" s="60">
        <f>U33*(1+S34)</f>
        <v>50547.214999999997</v>
      </c>
      <c r="V34" s="51"/>
      <c r="W34" s="59">
        <v>0.21</v>
      </c>
      <c r="X34" s="51"/>
      <c r="Y34" s="60">
        <f>Y33*(1+W34)</f>
        <v>0</v>
      </c>
    </row>
    <row r="35" spans="2:25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78"/>
      <c r="R35" s="80"/>
      <c r="S35" s="78"/>
      <c r="T35" s="78"/>
      <c r="U35" s="78"/>
      <c r="V35" s="80"/>
      <c r="Y35" s="78"/>
    </row>
    <row r="36" spans="2:25" x14ac:dyDescent="0.25">
      <c r="D36" s="49" t="s">
        <v>19</v>
      </c>
      <c r="E36" s="68"/>
      <c r="F36" s="433">
        <v>446.4</v>
      </c>
      <c r="G36" s="431">
        <v>206312.69</v>
      </c>
      <c r="H36" s="344"/>
      <c r="I36" s="344"/>
      <c r="J36" s="82"/>
      <c r="K36" s="82"/>
      <c r="L36" s="83"/>
      <c r="M36" s="81"/>
      <c r="N36" s="343">
        <f t="shared" ref="N36:N47" si="10">+O36</f>
        <v>5390</v>
      </c>
      <c r="O36" s="344">
        <f>3510+1880</f>
        <v>5390</v>
      </c>
      <c r="P36" s="344">
        <v>17228.580000000002</v>
      </c>
      <c r="Q36" s="342">
        <f>P36</f>
        <v>17228.580000000002</v>
      </c>
      <c r="R36" s="69"/>
      <c r="S36" s="433">
        <f>+T36</f>
        <v>571</v>
      </c>
      <c r="T36" s="431">
        <v>571</v>
      </c>
      <c r="U36" s="429">
        <v>48435.3</v>
      </c>
      <c r="V36" s="70"/>
      <c r="W36" s="343"/>
      <c r="X36" s="344"/>
      <c r="Y36" s="342"/>
    </row>
    <row r="37" spans="2:25" x14ac:dyDescent="0.25">
      <c r="D37" s="49" t="s">
        <v>20</v>
      </c>
      <c r="E37" s="68"/>
      <c r="F37" s="433"/>
      <c r="G37" s="431"/>
      <c r="H37" s="72"/>
      <c r="I37" s="72"/>
      <c r="J37" s="84"/>
      <c r="K37" s="84"/>
      <c r="L37" s="85"/>
      <c r="M37" s="81"/>
      <c r="N37" s="71">
        <f t="shared" si="10"/>
        <v>5205</v>
      </c>
      <c r="O37" s="72">
        <f>3324+1881</f>
        <v>5205</v>
      </c>
      <c r="P37" s="72">
        <v>16705.11</v>
      </c>
      <c r="Q37" s="320">
        <f t="shared" ref="Q37:Q47" si="11">P37</f>
        <v>16705.11</v>
      </c>
      <c r="R37" s="69"/>
      <c r="S37" s="433"/>
      <c r="T37" s="431"/>
      <c r="U37" s="429"/>
      <c r="V37" s="69"/>
      <c r="W37" s="71"/>
      <c r="X37" s="72"/>
      <c r="Y37" s="320"/>
    </row>
    <row r="38" spans="2:25" x14ac:dyDescent="0.25">
      <c r="D38" s="49" t="s">
        <v>21</v>
      </c>
      <c r="E38" s="68"/>
      <c r="F38" s="433"/>
      <c r="G38" s="431"/>
      <c r="H38" s="72"/>
      <c r="I38" s="72"/>
      <c r="J38" s="84"/>
      <c r="K38" s="84"/>
      <c r="L38" s="85"/>
      <c r="M38" s="81"/>
      <c r="N38" s="71">
        <f t="shared" si="10"/>
        <v>4281</v>
      </c>
      <c r="O38" s="72">
        <f>2621+1660</f>
        <v>4281</v>
      </c>
      <c r="P38" s="72">
        <v>14407.87</v>
      </c>
      <c r="Q38" s="320">
        <f t="shared" si="11"/>
        <v>14407.87</v>
      </c>
      <c r="R38" s="69"/>
      <c r="S38" s="433"/>
      <c r="T38" s="431"/>
      <c r="U38" s="429"/>
      <c r="V38" s="69"/>
      <c r="W38" s="71"/>
      <c r="X38" s="72"/>
      <c r="Y38" s="320"/>
    </row>
    <row r="39" spans="2:25" x14ac:dyDescent="0.25">
      <c r="D39" s="49" t="s">
        <v>22</v>
      </c>
      <c r="E39" s="68"/>
      <c r="F39" s="433"/>
      <c r="G39" s="431"/>
      <c r="H39" s="72"/>
      <c r="I39" s="72"/>
      <c r="J39" s="84"/>
      <c r="K39" s="84"/>
      <c r="L39" s="85"/>
      <c r="M39" s="81"/>
      <c r="N39" s="71">
        <f t="shared" si="10"/>
        <v>5075</v>
      </c>
      <c r="O39" s="72">
        <f>3123+1952</f>
        <v>5075</v>
      </c>
      <c r="P39" s="72">
        <v>16238.57</v>
      </c>
      <c r="Q39" s="320">
        <f t="shared" si="11"/>
        <v>16238.57</v>
      </c>
      <c r="R39" s="69"/>
      <c r="S39" s="433"/>
      <c r="T39" s="431"/>
      <c r="U39" s="429"/>
      <c r="V39" s="69"/>
      <c r="W39" s="71"/>
      <c r="X39" s="72"/>
      <c r="Y39" s="320"/>
    </row>
    <row r="40" spans="2:25" x14ac:dyDescent="0.25">
      <c r="D40" s="49" t="s">
        <v>23</v>
      </c>
      <c r="E40" s="68"/>
      <c r="F40" s="433"/>
      <c r="G40" s="431"/>
      <c r="H40" s="72"/>
      <c r="I40" s="72"/>
      <c r="J40" s="84"/>
      <c r="K40" s="84"/>
      <c r="L40" s="85"/>
      <c r="M40" s="81"/>
      <c r="N40" s="71">
        <f t="shared" si="10"/>
        <v>5193</v>
      </c>
      <c r="O40" s="72">
        <f>3156+2037</f>
        <v>5193</v>
      </c>
      <c r="P40" s="72">
        <v>16452.22</v>
      </c>
      <c r="Q40" s="320">
        <f t="shared" si="11"/>
        <v>16452.22</v>
      </c>
      <c r="R40" s="69"/>
      <c r="S40" s="433"/>
      <c r="T40" s="431"/>
      <c r="U40" s="429"/>
      <c r="V40" s="69"/>
      <c r="W40" s="71"/>
      <c r="X40" s="72"/>
      <c r="Y40" s="320"/>
    </row>
    <row r="41" spans="2:25" x14ac:dyDescent="0.25">
      <c r="D41" s="49" t="s">
        <v>24</v>
      </c>
      <c r="E41" s="68"/>
      <c r="F41" s="433"/>
      <c r="G41" s="431"/>
      <c r="H41" s="72"/>
      <c r="I41" s="72"/>
      <c r="J41" s="84"/>
      <c r="K41" s="84"/>
      <c r="L41" s="85"/>
      <c r="M41" s="81"/>
      <c r="N41" s="71">
        <f t="shared" si="10"/>
        <v>4577</v>
      </c>
      <c r="O41" s="72">
        <f>2952+1625</f>
        <v>4577</v>
      </c>
      <c r="P41" s="72">
        <v>15292.33</v>
      </c>
      <c r="Q41" s="320">
        <f t="shared" si="11"/>
        <v>15292.33</v>
      </c>
      <c r="R41" s="69"/>
      <c r="S41" s="433"/>
      <c r="T41" s="431"/>
      <c r="U41" s="429"/>
      <c r="V41" s="69"/>
      <c r="W41" s="71"/>
      <c r="X41" s="72"/>
      <c r="Y41" s="320"/>
    </row>
    <row r="42" spans="2:25" x14ac:dyDescent="0.25">
      <c r="D42" s="49" t="s">
        <v>25</v>
      </c>
      <c r="E42" s="68"/>
      <c r="F42" s="433"/>
      <c r="G42" s="431"/>
      <c r="H42" s="72"/>
      <c r="I42" s="72"/>
      <c r="J42" s="84"/>
      <c r="K42" s="84"/>
      <c r="L42" s="85"/>
      <c r="M42" s="81"/>
      <c r="N42" s="71">
        <f t="shared" si="10"/>
        <v>1089</v>
      </c>
      <c r="O42" s="72">
        <f>550+539</f>
        <v>1089</v>
      </c>
      <c r="P42" s="72">
        <v>6973.97</v>
      </c>
      <c r="Q42" s="320">
        <f t="shared" si="11"/>
        <v>6973.97</v>
      </c>
      <c r="R42" s="69"/>
      <c r="S42" s="433"/>
      <c r="T42" s="431"/>
      <c r="U42" s="429"/>
      <c r="V42" s="69"/>
      <c r="W42" s="71"/>
      <c r="X42" s="72"/>
      <c r="Y42" s="320"/>
    </row>
    <row r="43" spans="2:25" x14ac:dyDescent="0.25">
      <c r="D43" s="49" t="s">
        <v>26</v>
      </c>
      <c r="E43" s="68"/>
      <c r="F43" s="433"/>
      <c r="G43" s="431"/>
      <c r="H43" s="72"/>
      <c r="I43" s="72"/>
      <c r="J43" s="84"/>
      <c r="K43" s="84"/>
      <c r="L43" s="85"/>
      <c r="M43" s="81"/>
      <c r="N43" s="71">
        <f t="shared" si="10"/>
        <v>2398</v>
      </c>
      <c r="O43" s="72">
        <f>1097+1301</f>
        <v>2398</v>
      </c>
      <c r="P43" s="72">
        <v>9598.08</v>
      </c>
      <c r="Q43" s="320">
        <f t="shared" si="11"/>
        <v>9598.08</v>
      </c>
      <c r="R43" s="69"/>
      <c r="S43" s="433"/>
      <c r="T43" s="431"/>
      <c r="U43" s="429"/>
      <c r="V43" s="69"/>
      <c r="W43" s="71"/>
      <c r="X43" s="72"/>
      <c r="Y43" s="320"/>
    </row>
    <row r="44" spans="2:25" x14ac:dyDescent="0.25">
      <c r="D44" s="49" t="s">
        <v>27</v>
      </c>
      <c r="E44" s="68"/>
      <c r="F44" s="433"/>
      <c r="G44" s="431"/>
      <c r="H44" s="72"/>
      <c r="I44" s="72"/>
      <c r="J44" s="84"/>
      <c r="K44" s="84"/>
      <c r="L44" s="85"/>
      <c r="M44" s="81"/>
      <c r="N44" s="71">
        <f t="shared" si="10"/>
        <v>5856</v>
      </c>
      <c r="O44" s="72">
        <f>2975+2881</f>
        <v>5856</v>
      </c>
      <c r="P44" s="72">
        <v>17138.2</v>
      </c>
      <c r="Q44" s="320">
        <f t="shared" si="11"/>
        <v>17138.2</v>
      </c>
      <c r="R44" s="69"/>
      <c r="S44" s="433"/>
      <c r="T44" s="431"/>
      <c r="U44" s="429"/>
      <c r="V44" s="69"/>
      <c r="W44" s="71"/>
      <c r="X44" s="72"/>
      <c r="Y44" s="320"/>
    </row>
    <row r="45" spans="2:25" x14ac:dyDescent="0.25">
      <c r="D45" s="49" t="s">
        <v>28</v>
      </c>
      <c r="E45" s="68"/>
      <c r="F45" s="433"/>
      <c r="G45" s="431"/>
      <c r="H45" s="72"/>
      <c r="I45" s="72"/>
      <c r="J45" s="84"/>
      <c r="K45" s="84"/>
      <c r="L45" s="85"/>
      <c r="M45" s="81"/>
      <c r="N45" s="71">
        <f t="shared" si="10"/>
        <v>5977</v>
      </c>
      <c r="O45" s="72">
        <f>2944+3033</f>
        <v>5977</v>
      </c>
      <c r="P45" s="72">
        <v>17266.25</v>
      </c>
      <c r="Q45" s="320">
        <f t="shared" si="11"/>
        <v>17266.25</v>
      </c>
      <c r="R45" s="69"/>
      <c r="S45" s="433"/>
      <c r="T45" s="431"/>
      <c r="U45" s="429"/>
      <c r="V45" s="69"/>
      <c r="W45" s="71"/>
      <c r="X45" s="72"/>
      <c r="Y45" s="320"/>
    </row>
    <row r="46" spans="2:25" x14ac:dyDescent="0.25">
      <c r="D46" s="49" t="s">
        <v>29</v>
      </c>
      <c r="E46" s="68"/>
      <c r="F46" s="433"/>
      <c r="G46" s="431"/>
      <c r="H46" s="72"/>
      <c r="I46" s="72"/>
      <c r="J46" s="84"/>
      <c r="K46" s="84"/>
      <c r="L46" s="85"/>
      <c r="M46" s="81"/>
      <c r="N46" s="71">
        <f t="shared" si="10"/>
        <v>6201</v>
      </c>
      <c r="O46" s="72">
        <f>3085+3116</f>
        <v>6201</v>
      </c>
      <c r="P46" s="72">
        <v>17781.849999999999</v>
      </c>
      <c r="Q46" s="320">
        <f t="shared" si="11"/>
        <v>17781.849999999999</v>
      </c>
      <c r="R46" s="69"/>
      <c r="S46" s="433"/>
      <c r="T46" s="431"/>
      <c r="U46" s="429"/>
      <c r="V46" s="69"/>
      <c r="W46" s="71"/>
      <c r="X46" s="72"/>
      <c r="Y46" s="320"/>
    </row>
    <row r="47" spans="2:25" x14ac:dyDescent="0.25">
      <c r="D47" s="49" t="s">
        <v>30</v>
      </c>
      <c r="E47" s="68"/>
      <c r="F47" s="447"/>
      <c r="G47" s="445"/>
      <c r="H47" s="74"/>
      <c r="I47" s="74"/>
      <c r="J47" s="86"/>
      <c r="K47" s="86"/>
      <c r="L47" s="87"/>
      <c r="M47" s="81"/>
      <c r="N47" s="73">
        <f t="shared" si="10"/>
        <v>5727</v>
      </c>
      <c r="O47" s="74">
        <f>2588+3139</f>
        <v>5727</v>
      </c>
      <c r="P47" s="74">
        <v>16411.919999999998</v>
      </c>
      <c r="Q47" s="321">
        <f t="shared" si="11"/>
        <v>16411.919999999998</v>
      </c>
      <c r="R47" s="50"/>
      <c r="S47" s="447"/>
      <c r="T47" s="445"/>
      <c r="U47" s="430"/>
      <c r="V47" s="69"/>
      <c r="W47" s="73"/>
      <c r="X47" s="74"/>
      <c r="Y47" s="321"/>
    </row>
    <row r="48" spans="2:25" x14ac:dyDescent="0.25">
      <c r="B48" s="52"/>
      <c r="C48" s="52"/>
      <c r="D48" s="53"/>
      <c r="E48" s="75"/>
      <c r="F48" s="54">
        <f>SUM(F36:F47)</f>
        <v>446.4</v>
      </c>
      <c r="G48" s="54">
        <f t="shared" ref="G48:L48" si="12">SUM(G36:G47)</f>
        <v>206312.69</v>
      </c>
      <c r="H48" s="54">
        <f t="shared" si="12"/>
        <v>0</v>
      </c>
      <c r="I48" s="54">
        <f t="shared" si="12"/>
        <v>0</v>
      </c>
      <c r="J48" s="54">
        <f t="shared" si="12"/>
        <v>0</v>
      </c>
      <c r="K48" s="54">
        <f t="shared" si="12"/>
        <v>0</v>
      </c>
      <c r="L48" s="54">
        <f t="shared" si="12"/>
        <v>0</v>
      </c>
      <c r="M48" s="54"/>
      <c r="N48" s="54">
        <f>SUM(N36:N47)</f>
        <v>56969</v>
      </c>
      <c r="O48" s="54"/>
      <c r="P48" s="54"/>
      <c r="Q48" s="54">
        <f>SUM(Q36:Q47)</f>
        <v>181494.95</v>
      </c>
      <c r="R48" s="54"/>
      <c r="S48" s="54">
        <f t="shared" ref="S48:U48" si="13">SUM(S36:S47)</f>
        <v>571</v>
      </c>
      <c r="T48" s="54"/>
      <c r="U48" s="54">
        <f t="shared" si="13"/>
        <v>48435.3</v>
      </c>
      <c r="V48" s="55"/>
      <c r="W48" s="54">
        <f t="shared" ref="W48:Y48" si="14">SUM(W36:W47)</f>
        <v>0</v>
      </c>
      <c r="X48" s="54">
        <f t="shared" si="14"/>
        <v>0</v>
      </c>
      <c r="Y48" s="54">
        <f t="shared" si="14"/>
        <v>0</v>
      </c>
    </row>
    <row r="49" spans="1:25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237259.59349999999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59"/>
      <c r="Q49" s="60">
        <f>Q48*(1+N49)</f>
        <v>219608.88950000002</v>
      </c>
      <c r="R49" s="51"/>
      <c r="S49" s="59">
        <v>0.15</v>
      </c>
      <c r="T49" s="59"/>
      <c r="U49" s="60">
        <f>U48*(1+S49)</f>
        <v>55700.595000000001</v>
      </c>
      <c r="V49" s="51"/>
      <c r="W49" s="59">
        <v>0.21</v>
      </c>
      <c r="X49" s="51"/>
      <c r="Y49" s="60">
        <f>Y48*(1+W49)</f>
        <v>0</v>
      </c>
    </row>
    <row r="51" spans="1:25" x14ac:dyDescent="0.25">
      <c r="B51" s="41" t="s">
        <v>36</v>
      </c>
      <c r="Q51" s="43"/>
      <c r="R51" s="88"/>
      <c r="S51" s="43"/>
      <c r="T51" s="43"/>
      <c r="U51" s="43"/>
      <c r="V51" s="88"/>
      <c r="W51" s="43"/>
      <c r="X51" s="43"/>
      <c r="Y51" s="43"/>
    </row>
    <row r="52" spans="1:25" x14ac:dyDescent="0.25">
      <c r="B52" s="89" t="s">
        <v>200</v>
      </c>
    </row>
    <row r="53" spans="1:25" x14ac:dyDescent="0.25">
      <c r="B53" s="89"/>
    </row>
    <row r="54" spans="1:25" x14ac:dyDescent="0.25">
      <c r="B54" s="329"/>
    </row>
    <row r="55" spans="1:25" x14ac:dyDescent="0.25">
      <c r="A55" s="89"/>
      <c r="B55" s="89"/>
    </row>
    <row r="56" spans="1:25" x14ac:dyDescent="0.25">
      <c r="B56" s="89"/>
    </row>
    <row r="57" spans="1:25" x14ac:dyDescent="0.25">
      <c r="B57" s="91"/>
    </row>
    <row r="58" spans="1:25" x14ac:dyDescent="0.25">
      <c r="B58" s="91"/>
    </row>
    <row r="59" spans="1:25" x14ac:dyDescent="0.25">
      <c r="B59" s="91"/>
    </row>
    <row r="60" spans="1:25" x14ac:dyDescent="0.25">
      <c r="B60" s="91"/>
    </row>
    <row r="61" spans="1:25" x14ac:dyDescent="0.25">
      <c r="B61" s="91"/>
    </row>
  </sheetData>
  <mergeCells count="25">
    <mergeCell ref="D2:D4"/>
    <mergeCell ref="F2:L2"/>
    <mergeCell ref="N2:Q2"/>
    <mergeCell ref="S2:U2"/>
    <mergeCell ref="W2:Y2"/>
    <mergeCell ref="F3:G3"/>
    <mergeCell ref="H3:I3"/>
    <mergeCell ref="J3:L3"/>
    <mergeCell ref="N3:Q3"/>
    <mergeCell ref="S3:U3"/>
    <mergeCell ref="W3:Y3"/>
    <mergeCell ref="O4:P4"/>
    <mergeCell ref="T36:T47"/>
    <mergeCell ref="U36:U47"/>
    <mergeCell ref="S6:S17"/>
    <mergeCell ref="T6:T17"/>
    <mergeCell ref="U6:U17"/>
    <mergeCell ref="T21:T32"/>
    <mergeCell ref="U21:U32"/>
    <mergeCell ref="S21:S32"/>
    <mergeCell ref="F6:F17"/>
    <mergeCell ref="F21:F32"/>
    <mergeCell ref="F36:F47"/>
    <mergeCell ref="G36:G47"/>
    <mergeCell ref="S36:S47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A61"/>
  <sheetViews>
    <sheetView zoomScaleNormal="100" workbookViewId="0">
      <pane ySplit="4" topLeftCell="A13" activePane="bottomLeft" state="frozen"/>
      <selection pane="bottomLeft" activeCell="AC13" sqref="AC13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hidden="1" customWidth="1" outlineLevel="1"/>
    <col min="16" max="16" width="12.7109375" style="40" customWidth="1" collapsed="1"/>
    <col min="17" max="17" width="3.28515625" style="42" customWidth="1"/>
    <col min="18" max="18" width="14" style="40" customWidth="1"/>
    <col min="19" max="22" width="14" style="40" hidden="1" customWidth="1" outlineLevel="1"/>
    <col min="23" max="23" width="14" style="40" customWidth="1" collapsed="1"/>
    <col min="24" max="24" width="3.28515625" style="42" customWidth="1"/>
    <col min="25" max="26" width="10.140625" style="40"/>
    <col min="27" max="27" width="10.140625" style="40" customWidth="1"/>
    <col min="28" max="268" width="10.140625" style="40"/>
    <col min="269" max="281" width="14" style="40" customWidth="1"/>
    <col min="282" max="524" width="10.140625" style="40"/>
    <col min="525" max="537" width="14" style="40" customWidth="1"/>
    <col min="538" max="780" width="10.140625" style="40"/>
    <col min="781" max="793" width="14" style="40" customWidth="1"/>
    <col min="794" max="1036" width="10.140625" style="40"/>
    <col min="1037" max="1049" width="14" style="40" customWidth="1"/>
    <col min="1050" max="1292" width="10.140625" style="40"/>
    <col min="1293" max="1305" width="14" style="40" customWidth="1"/>
    <col min="1306" max="1548" width="10.140625" style="40"/>
    <col min="1549" max="1561" width="14" style="40" customWidth="1"/>
    <col min="1562" max="1804" width="10.140625" style="40"/>
    <col min="1805" max="1817" width="14" style="40" customWidth="1"/>
    <col min="1818" max="2060" width="10.140625" style="40"/>
    <col min="2061" max="2073" width="14" style="40" customWidth="1"/>
    <col min="2074" max="2316" width="10.140625" style="40"/>
    <col min="2317" max="2329" width="14" style="40" customWidth="1"/>
    <col min="2330" max="2572" width="10.140625" style="40"/>
    <col min="2573" max="2585" width="14" style="40" customWidth="1"/>
    <col min="2586" max="2828" width="10.140625" style="40"/>
    <col min="2829" max="2841" width="14" style="40" customWidth="1"/>
    <col min="2842" max="3084" width="10.140625" style="40"/>
    <col min="3085" max="3097" width="14" style="40" customWidth="1"/>
    <col min="3098" max="3340" width="10.140625" style="40"/>
    <col min="3341" max="3353" width="14" style="40" customWidth="1"/>
    <col min="3354" max="3596" width="10.140625" style="40"/>
    <col min="3597" max="3609" width="14" style="40" customWidth="1"/>
    <col min="3610" max="3852" width="10.140625" style="40"/>
    <col min="3853" max="3865" width="14" style="40" customWidth="1"/>
    <col min="3866" max="4108" width="10.140625" style="40"/>
    <col min="4109" max="4121" width="14" style="40" customWidth="1"/>
    <col min="4122" max="4364" width="10.140625" style="40"/>
    <col min="4365" max="4377" width="14" style="40" customWidth="1"/>
    <col min="4378" max="4620" width="10.140625" style="40"/>
    <col min="4621" max="4633" width="14" style="40" customWidth="1"/>
    <col min="4634" max="4876" width="10.140625" style="40"/>
    <col min="4877" max="4889" width="14" style="40" customWidth="1"/>
    <col min="4890" max="5132" width="10.140625" style="40"/>
    <col min="5133" max="5145" width="14" style="40" customWidth="1"/>
    <col min="5146" max="5388" width="10.140625" style="40"/>
    <col min="5389" max="5401" width="14" style="40" customWidth="1"/>
    <col min="5402" max="5644" width="10.140625" style="40"/>
    <col min="5645" max="5657" width="14" style="40" customWidth="1"/>
    <col min="5658" max="5900" width="10.140625" style="40"/>
    <col min="5901" max="5913" width="14" style="40" customWidth="1"/>
    <col min="5914" max="6156" width="10.140625" style="40"/>
    <col min="6157" max="6169" width="14" style="40" customWidth="1"/>
    <col min="6170" max="6412" width="10.140625" style="40"/>
    <col min="6413" max="6425" width="14" style="40" customWidth="1"/>
    <col min="6426" max="6668" width="10.140625" style="40"/>
    <col min="6669" max="6681" width="14" style="40" customWidth="1"/>
    <col min="6682" max="6924" width="10.140625" style="40"/>
    <col min="6925" max="6937" width="14" style="40" customWidth="1"/>
    <col min="6938" max="7180" width="10.140625" style="40"/>
    <col min="7181" max="7193" width="14" style="40" customWidth="1"/>
    <col min="7194" max="7436" width="10.140625" style="40"/>
    <col min="7437" max="7449" width="14" style="40" customWidth="1"/>
    <col min="7450" max="7692" width="10.140625" style="40"/>
    <col min="7693" max="7705" width="14" style="40" customWidth="1"/>
    <col min="7706" max="7948" width="10.140625" style="40"/>
    <col min="7949" max="7961" width="14" style="40" customWidth="1"/>
    <col min="7962" max="8204" width="10.140625" style="40"/>
    <col min="8205" max="8217" width="14" style="40" customWidth="1"/>
    <col min="8218" max="8460" width="10.140625" style="40"/>
    <col min="8461" max="8473" width="14" style="40" customWidth="1"/>
    <col min="8474" max="8716" width="10.140625" style="40"/>
    <col min="8717" max="8729" width="14" style="40" customWidth="1"/>
    <col min="8730" max="8972" width="10.140625" style="40"/>
    <col min="8973" max="8985" width="14" style="40" customWidth="1"/>
    <col min="8986" max="9228" width="10.140625" style="40"/>
    <col min="9229" max="9241" width="14" style="40" customWidth="1"/>
    <col min="9242" max="9484" width="10.140625" style="40"/>
    <col min="9485" max="9497" width="14" style="40" customWidth="1"/>
    <col min="9498" max="9740" width="10.140625" style="40"/>
    <col min="9741" max="9753" width="14" style="40" customWidth="1"/>
    <col min="9754" max="9996" width="10.140625" style="40"/>
    <col min="9997" max="10009" width="14" style="40" customWidth="1"/>
    <col min="10010" max="10252" width="10.140625" style="40"/>
    <col min="10253" max="10265" width="14" style="40" customWidth="1"/>
    <col min="10266" max="10508" width="10.140625" style="40"/>
    <col min="10509" max="10521" width="14" style="40" customWidth="1"/>
    <col min="10522" max="10764" width="10.140625" style="40"/>
    <col min="10765" max="10777" width="14" style="40" customWidth="1"/>
    <col min="10778" max="11020" width="10.140625" style="40"/>
    <col min="11021" max="11033" width="14" style="40" customWidth="1"/>
    <col min="11034" max="11276" width="10.140625" style="40"/>
    <col min="11277" max="11289" width="14" style="40" customWidth="1"/>
    <col min="11290" max="11532" width="10.140625" style="40"/>
    <col min="11533" max="11545" width="14" style="40" customWidth="1"/>
    <col min="11546" max="11788" width="10.140625" style="40"/>
    <col min="11789" max="11801" width="14" style="40" customWidth="1"/>
    <col min="11802" max="12044" width="10.140625" style="40"/>
    <col min="12045" max="12057" width="14" style="40" customWidth="1"/>
    <col min="12058" max="12300" width="10.140625" style="40"/>
    <col min="12301" max="12313" width="14" style="40" customWidth="1"/>
    <col min="12314" max="12556" width="10.140625" style="40"/>
    <col min="12557" max="12569" width="14" style="40" customWidth="1"/>
    <col min="12570" max="12812" width="10.140625" style="40"/>
    <col min="12813" max="12825" width="14" style="40" customWidth="1"/>
    <col min="12826" max="13068" width="10.140625" style="40"/>
    <col min="13069" max="13081" width="14" style="40" customWidth="1"/>
    <col min="13082" max="13324" width="10.140625" style="40"/>
    <col min="13325" max="13337" width="14" style="40" customWidth="1"/>
    <col min="13338" max="13580" width="10.140625" style="40"/>
    <col min="13581" max="13593" width="14" style="40" customWidth="1"/>
    <col min="13594" max="13836" width="10.140625" style="40"/>
    <col min="13837" max="13849" width="14" style="40" customWidth="1"/>
    <col min="13850" max="14092" width="10.140625" style="40"/>
    <col min="14093" max="14105" width="14" style="40" customWidth="1"/>
    <col min="14106" max="14348" width="10.140625" style="40"/>
    <col min="14349" max="14361" width="14" style="40" customWidth="1"/>
    <col min="14362" max="14604" width="10.140625" style="40"/>
    <col min="14605" max="14617" width="14" style="40" customWidth="1"/>
    <col min="14618" max="14860" width="10.140625" style="40"/>
    <col min="14861" max="14873" width="14" style="40" customWidth="1"/>
    <col min="14874" max="15116" width="10.140625" style="40"/>
    <col min="15117" max="15129" width="14" style="40" customWidth="1"/>
    <col min="15130" max="15372" width="10.140625" style="40"/>
    <col min="15373" max="15385" width="14" style="40" customWidth="1"/>
    <col min="15386" max="15628" width="10.140625" style="40"/>
    <col min="15629" max="15641" width="14" style="40" customWidth="1"/>
    <col min="15642" max="15884" width="10.140625" style="40"/>
    <col min="15885" max="15897" width="14" style="40" customWidth="1"/>
    <col min="15898" max="16140" width="10.140625" style="40"/>
    <col min="16141" max="16153" width="14" style="40" customWidth="1"/>
    <col min="16154" max="16384" width="10.140625" style="40"/>
  </cols>
  <sheetData>
    <row r="1" spans="2:27" ht="4.5" customHeight="1" x14ac:dyDescent="0.25"/>
    <row r="2" spans="2:27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52"/>
      <c r="U2" s="452"/>
      <c r="V2" s="452"/>
      <c r="W2" s="452"/>
      <c r="X2" s="40"/>
      <c r="Y2" s="453" t="s">
        <v>11</v>
      </c>
      <c r="Z2" s="453"/>
      <c r="AA2" s="453"/>
    </row>
    <row r="3" spans="2:27" ht="15" customHeight="1" x14ac:dyDescent="0.25">
      <c r="B3" s="45" t="str">
        <f ca="1">MID(CELL("filename",A8),FIND("]",CELL("filename",A8))+1,LEN(CELL("filename",A8))-FIND("]",CELL("filename",A8)))</f>
        <v>04 ZŠ Žižkova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56"/>
      <c r="U3" s="456"/>
      <c r="V3" s="456"/>
      <c r="W3" s="456"/>
      <c r="X3" s="40"/>
      <c r="Y3" s="457" t="s">
        <v>3</v>
      </c>
      <c r="Z3" s="457"/>
      <c r="AA3" s="457"/>
    </row>
    <row r="4" spans="2:27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166</v>
      </c>
      <c r="P4" s="36" t="s">
        <v>8</v>
      </c>
      <c r="Q4" s="48"/>
      <c r="R4" s="327" t="s">
        <v>14</v>
      </c>
      <c r="S4" s="464" t="s">
        <v>167</v>
      </c>
      <c r="T4" s="464"/>
      <c r="U4" s="464" t="s">
        <v>168</v>
      </c>
      <c r="V4" s="464"/>
      <c r="W4" s="37" t="s">
        <v>8</v>
      </c>
      <c r="X4" s="40"/>
      <c r="Y4" s="38" t="s">
        <v>2</v>
      </c>
      <c r="Z4" s="38" t="s">
        <v>14</v>
      </c>
      <c r="AA4" s="39" t="s">
        <v>8</v>
      </c>
    </row>
    <row r="5" spans="2:27" ht="4.5" customHeight="1" x14ac:dyDescent="0.25">
      <c r="D5" s="63"/>
      <c r="E5" s="79"/>
      <c r="F5" s="41"/>
      <c r="G5" s="41"/>
    </row>
    <row r="6" spans="2:27" x14ac:dyDescent="0.25">
      <c r="B6" s="41"/>
      <c r="C6" s="41"/>
      <c r="D6" s="49" t="s">
        <v>19</v>
      </c>
      <c r="E6" s="68"/>
      <c r="F6" s="346"/>
      <c r="G6" s="346"/>
      <c r="H6" s="346"/>
      <c r="I6" s="340"/>
      <c r="J6" s="340"/>
      <c r="K6" s="340"/>
      <c r="L6" s="345"/>
      <c r="M6" s="50"/>
      <c r="N6" s="433">
        <f t="shared" ref="N6:N9" si="0">+O6</f>
        <v>9652</v>
      </c>
      <c r="O6" s="431">
        <v>9652</v>
      </c>
      <c r="P6" s="345"/>
      <c r="Q6" s="69"/>
      <c r="R6" s="433">
        <f>+S6+U6</f>
        <v>367</v>
      </c>
      <c r="S6" s="433">
        <v>125</v>
      </c>
      <c r="T6" s="347"/>
      <c r="U6" s="433">
        <v>242</v>
      </c>
      <c r="V6" s="346"/>
      <c r="W6" s="346"/>
      <c r="X6" s="70"/>
      <c r="Y6" s="433">
        <v>156117.62</v>
      </c>
      <c r="Z6" s="431">
        <f>+Y6/10.623</f>
        <v>14696.189400357714</v>
      </c>
      <c r="AA6" s="345"/>
    </row>
    <row r="7" spans="2:27" x14ac:dyDescent="0.25">
      <c r="B7" s="41"/>
      <c r="C7" s="41"/>
      <c r="D7" s="49" t="s">
        <v>20</v>
      </c>
      <c r="E7" s="68"/>
      <c r="F7" s="72"/>
      <c r="G7" s="72"/>
      <c r="H7" s="72"/>
      <c r="I7" s="322"/>
      <c r="J7" s="322"/>
      <c r="K7" s="322"/>
      <c r="L7" s="320"/>
      <c r="M7" s="50"/>
      <c r="N7" s="433"/>
      <c r="O7" s="431"/>
      <c r="P7" s="320"/>
      <c r="Q7" s="69"/>
      <c r="R7" s="433"/>
      <c r="S7" s="433"/>
      <c r="T7" s="71"/>
      <c r="U7" s="433"/>
      <c r="V7" s="72"/>
      <c r="W7" s="72"/>
      <c r="X7" s="69"/>
      <c r="Y7" s="433"/>
      <c r="Z7" s="431"/>
      <c r="AA7" s="320"/>
    </row>
    <row r="8" spans="2:27" x14ac:dyDescent="0.25">
      <c r="B8" s="41"/>
      <c r="C8" s="41"/>
      <c r="D8" s="49" t="s">
        <v>21</v>
      </c>
      <c r="E8" s="68"/>
      <c r="F8" s="72"/>
      <c r="G8" s="72"/>
      <c r="H8" s="72"/>
      <c r="I8" s="322"/>
      <c r="J8" s="322"/>
      <c r="K8" s="322"/>
      <c r="L8" s="320"/>
      <c r="M8" s="50"/>
      <c r="N8" s="434"/>
      <c r="O8" s="432"/>
      <c r="P8" s="320"/>
      <c r="Q8" s="69"/>
      <c r="R8" s="433"/>
      <c r="S8" s="433"/>
      <c r="T8" s="71"/>
      <c r="U8" s="433"/>
      <c r="V8" s="72"/>
      <c r="W8" s="72"/>
      <c r="X8" s="69"/>
      <c r="Y8" s="433"/>
      <c r="Z8" s="431"/>
      <c r="AA8" s="320"/>
    </row>
    <row r="9" spans="2:27" x14ac:dyDescent="0.25">
      <c r="B9" s="41"/>
      <c r="C9" s="41"/>
      <c r="D9" s="49" t="s">
        <v>22</v>
      </c>
      <c r="E9" s="68"/>
      <c r="F9" s="72"/>
      <c r="G9" s="72"/>
      <c r="H9" s="72"/>
      <c r="I9" s="322"/>
      <c r="J9" s="322"/>
      <c r="K9" s="322"/>
      <c r="L9" s="320"/>
      <c r="M9" s="50"/>
      <c r="N9" s="439">
        <f t="shared" si="0"/>
        <v>17130</v>
      </c>
      <c r="O9" s="436">
        <f>22840*COUNTA(D9:D17)/12</f>
        <v>17130</v>
      </c>
      <c r="P9" s="320"/>
      <c r="Q9" s="69"/>
      <c r="R9" s="433"/>
      <c r="S9" s="433"/>
      <c r="T9" s="71"/>
      <c r="U9" s="433"/>
      <c r="V9" s="72"/>
      <c r="W9" s="72"/>
      <c r="X9" s="69"/>
      <c r="Y9" s="433"/>
      <c r="Z9" s="431"/>
      <c r="AA9" s="320"/>
    </row>
    <row r="10" spans="2:27" x14ac:dyDescent="0.25">
      <c r="B10" s="41"/>
      <c r="C10" s="41"/>
      <c r="D10" s="49" t="s">
        <v>23</v>
      </c>
      <c r="E10" s="68"/>
      <c r="F10" s="72"/>
      <c r="G10" s="72"/>
      <c r="H10" s="72"/>
      <c r="I10" s="322"/>
      <c r="J10" s="322"/>
      <c r="K10" s="322"/>
      <c r="L10" s="320"/>
      <c r="M10" s="50"/>
      <c r="N10" s="440"/>
      <c r="O10" s="437"/>
      <c r="P10" s="320"/>
      <c r="Q10" s="69"/>
      <c r="R10" s="433"/>
      <c r="S10" s="433"/>
      <c r="T10" s="71"/>
      <c r="U10" s="433"/>
      <c r="V10" s="72"/>
      <c r="W10" s="72"/>
      <c r="X10" s="69"/>
      <c r="Y10" s="433"/>
      <c r="Z10" s="431"/>
      <c r="AA10" s="320"/>
    </row>
    <row r="11" spans="2:27" x14ac:dyDescent="0.25">
      <c r="B11" s="41"/>
      <c r="C11" s="41"/>
      <c r="D11" s="49" t="s">
        <v>24</v>
      </c>
      <c r="E11" s="68"/>
      <c r="F11" s="72"/>
      <c r="G11" s="72"/>
      <c r="H11" s="72"/>
      <c r="I11" s="322"/>
      <c r="J11" s="322"/>
      <c r="K11" s="322"/>
      <c r="L11" s="320"/>
      <c r="M11" s="50"/>
      <c r="N11" s="440"/>
      <c r="O11" s="437"/>
      <c r="P11" s="320"/>
      <c r="Q11" s="69"/>
      <c r="R11" s="433"/>
      <c r="S11" s="433"/>
      <c r="T11" s="71"/>
      <c r="U11" s="433"/>
      <c r="V11" s="72"/>
      <c r="W11" s="72"/>
      <c r="X11" s="69"/>
      <c r="Y11" s="434"/>
      <c r="Z11" s="432"/>
      <c r="AA11" s="320"/>
    </row>
    <row r="12" spans="2:27" x14ac:dyDescent="0.25">
      <c r="B12" s="41"/>
      <c r="C12" s="41"/>
      <c r="D12" s="49" t="s">
        <v>25</v>
      </c>
      <c r="E12" s="68"/>
      <c r="F12" s="72"/>
      <c r="G12" s="72"/>
      <c r="H12" s="72"/>
      <c r="I12" s="322"/>
      <c r="J12" s="322"/>
      <c r="K12" s="322"/>
      <c r="L12" s="320"/>
      <c r="M12" s="50"/>
      <c r="N12" s="440"/>
      <c r="O12" s="437"/>
      <c r="P12" s="320"/>
      <c r="Q12" s="69"/>
      <c r="R12" s="433"/>
      <c r="S12" s="433"/>
      <c r="T12" s="71"/>
      <c r="U12" s="433"/>
      <c r="V12" s="72"/>
      <c r="W12" s="72"/>
      <c r="X12" s="69"/>
      <c r="Y12" s="446">
        <v>100288.9</v>
      </c>
      <c r="Z12" s="444">
        <f>+Y12/10.6207</f>
        <v>9442.7768414511283</v>
      </c>
      <c r="AA12" s="320"/>
    </row>
    <row r="13" spans="2:27" x14ac:dyDescent="0.25">
      <c r="B13" s="41"/>
      <c r="C13" s="41"/>
      <c r="D13" s="49" t="s">
        <v>26</v>
      </c>
      <c r="E13" s="68"/>
      <c r="F13" s="72"/>
      <c r="G13" s="72"/>
      <c r="H13" s="72"/>
      <c r="I13" s="322"/>
      <c r="J13" s="322"/>
      <c r="K13" s="322"/>
      <c r="L13" s="320"/>
      <c r="M13" s="50"/>
      <c r="N13" s="440"/>
      <c r="O13" s="437"/>
      <c r="P13" s="320"/>
      <c r="Q13" s="69"/>
      <c r="R13" s="433"/>
      <c r="S13" s="433"/>
      <c r="T13" s="71"/>
      <c r="U13" s="433"/>
      <c r="V13" s="72"/>
      <c r="W13" s="72"/>
      <c r="X13" s="69"/>
      <c r="Y13" s="433"/>
      <c r="Z13" s="431"/>
      <c r="AA13" s="320"/>
    </row>
    <row r="14" spans="2:27" x14ac:dyDescent="0.25">
      <c r="B14" s="41"/>
      <c r="C14" s="41"/>
      <c r="D14" s="49" t="s">
        <v>27</v>
      </c>
      <c r="E14" s="68"/>
      <c r="F14" s="72"/>
      <c r="G14" s="72"/>
      <c r="H14" s="72"/>
      <c r="I14" s="322"/>
      <c r="J14" s="322"/>
      <c r="K14" s="322"/>
      <c r="L14" s="320"/>
      <c r="M14" s="50"/>
      <c r="N14" s="440"/>
      <c r="O14" s="437"/>
      <c r="P14" s="320"/>
      <c r="Q14" s="69"/>
      <c r="R14" s="433"/>
      <c r="S14" s="433"/>
      <c r="T14" s="71"/>
      <c r="U14" s="433"/>
      <c r="V14" s="72"/>
      <c r="W14" s="72"/>
      <c r="X14" s="69"/>
      <c r="Y14" s="433"/>
      <c r="Z14" s="431"/>
      <c r="AA14" s="320"/>
    </row>
    <row r="15" spans="2:27" x14ac:dyDescent="0.25">
      <c r="B15" s="41"/>
      <c r="C15" s="41"/>
      <c r="D15" s="49" t="s">
        <v>28</v>
      </c>
      <c r="E15" s="68"/>
      <c r="F15" s="72"/>
      <c r="G15" s="72"/>
      <c r="H15" s="72"/>
      <c r="I15" s="322"/>
      <c r="J15" s="322"/>
      <c r="K15" s="322"/>
      <c r="L15" s="320"/>
      <c r="M15" s="50"/>
      <c r="N15" s="440"/>
      <c r="O15" s="437"/>
      <c r="P15" s="320"/>
      <c r="Q15" s="69"/>
      <c r="R15" s="433"/>
      <c r="S15" s="433"/>
      <c r="T15" s="71"/>
      <c r="U15" s="433"/>
      <c r="V15" s="72"/>
      <c r="W15" s="72"/>
      <c r="X15" s="69"/>
      <c r="Y15" s="433"/>
      <c r="Z15" s="431"/>
      <c r="AA15" s="320"/>
    </row>
    <row r="16" spans="2:27" x14ac:dyDescent="0.25">
      <c r="B16" s="41"/>
      <c r="C16" s="41"/>
      <c r="D16" s="49" t="s">
        <v>29</v>
      </c>
      <c r="E16" s="68"/>
      <c r="F16" s="72"/>
      <c r="G16" s="72"/>
      <c r="H16" s="72"/>
      <c r="I16" s="322"/>
      <c r="J16" s="322"/>
      <c r="K16" s="322"/>
      <c r="L16" s="320"/>
      <c r="M16" s="50"/>
      <c r="N16" s="440"/>
      <c r="O16" s="437"/>
      <c r="P16" s="320"/>
      <c r="Q16" s="69"/>
      <c r="R16" s="433"/>
      <c r="S16" s="433"/>
      <c r="T16" s="71"/>
      <c r="U16" s="433"/>
      <c r="V16" s="72"/>
      <c r="W16" s="72"/>
      <c r="X16" s="69"/>
      <c r="Y16" s="433"/>
      <c r="Z16" s="431"/>
      <c r="AA16" s="320"/>
    </row>
    <row r="17" spans="2:27" x14ac:dyDescent="0.25">
      <c r="B17" s="41"/>
      <c r="C17" s="41"/>
      <c r="D17" s="49" t="s">
        <v>30</v>
      </c>
      <c r="E17" s="68"/>
      <c r="F17" s="74"/>
      <c r="G17" s="74"/>
      <c r="H17" s="74"/>
      <c r="I17" s="323"/>
      <c r="J17" s="323"/>
      <c r="K17" s="323"/>
      <c r="L17" s="321"/>
      <c r="M17" s="50"/>
      <c r="N17" s="441"/>
      <c r="O17" s="438"/>
      <c r="P17" s="321"/>
      <c r="Q17" s="50"/>
      <c r="R17" s="447"/>
      <c r="S17" s="447"/>
      <c r="T17" s="73"/>
      <c r="U17" s="447"/>
      <c r="V17" s="74"/>
      <c r="W17" s="74"/>
      <c r="X17" s="69"/>
      <c r="Y17" s="447"/>
      <c r="Z17" s="445"/>
      <c r="AA17" s="321"/>
    </row>
    <row r="18" spans="2:27" x14ac:dyDescent="0.25">
      <c r="B18" s="52"/>
      <c r="C18" s="52"/>
      <c r="D18" s="53"/>
      <c r="E18" s="75"/>
      <c r="F18" s="54">
        <f>SUM(F6:F17)</f>
        <v>0</v>
      </c>
      <c r="G18" s="54">
        <f t="shared" ref="G18:L18" si="1">SUM(G6:G17)</f>
        <v>0</v>
      </c>
      <c r="H18" s="54">
        <f t="shared" si="1"/>
        <v>0</v>
      </c>
      <c r="I18" s="54">
        <f t="shared" si="1"/>
        <v>0</v>
      </c>
      <c r="J18" s="54">
        <f t="shared" si="1"/>
        <v>0</v>
      </c>
      <c r="K18" s="54">
        <f t="shared" si="1"/>
        <v>0</v>
      </c>
      <c r="L18" s="54">
        <f t="shared" si="1"/>
        <v>0</v>
      </c>
      <c r="M18" s="65"/>
      <c r="N18" s="54">
        <f t="shared" ref="N18:P18" si="2">SUM(N6:N17)</f>
        <v>26782</v>
      </c>
      <c r="O18" s="54"/>
      <c r="P18" s="54">
        <f t="shared" si="2"/>
        <v>0</v>
      </c>
      <c r="Q18" s="76"/>
      <c r="R18" s="54">
        <f>SUM(R6:R17)</f>
        <v>367</v>
      </c>
      <c r="S18" s="54"/>
      <c r="T18" s="54"/>
      <c r="U18" s="54"/>
      <c r="V18" s="54"/>
      <c r="W18" s="54">
        <f>SUM(W6:W17)</f>
        <v>0</v>
      </c>
      <c r="X18" s="40"/>
      <c r="Y18" s="54">
        <f t="shared" ref="Y18:AA18" si="3">SUM(Y6:Y17)</f>
        <v>256406.52</v>
      </c>
      <c r="Z18" s="54">
        <f t="shared" si="3"/>
        <v>24138.966241808841</v>
      </c>
      <c r="AA18" s="54">
        <f t="shared" si="3"/>
        <v>0</v>
      </c>
    </row>
    <row r="19" spans="2:27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0</v>
      </c>
      <c r="Q19" s="77"/>
      <c r="R19" s="59">
        <v>0.15</v>
      </c>
      <c r="S19" s="59"/>
      <c r="T19" s="59"/>
      <c r="U19" s="59"/>
      <c r="V19" s="59"/>
      <c r="W19" s="60">
        <f>W18*(1+R19)</f>
        <v>0</v>
      </c>
      <c r="X19" s="77"/>
      <c r="Y19" s="59">
        <v>0.21</v>
      </c>
      <c r="Z19" s="51"/>
      <c r="AA19" s="60">
        <f>AA18*(1+Y19)</f>
        <v>0</v>
      </c>
    </row>
    <row r="20" spans="2:27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78"/>
      <c r="V20" s="78"/>
      <c r="W20" s="78"/>
      <c r="X20" s="80"/>
      <c r="AA20" s="78"/>
    </row>
    <row r="21" spans="2:27" x14ac:dyDescent="0.25">
      <c r="D21" s="49" t="s">
        <v>19</v>
      </c>
      <c r="E21" s="68"/>
      <c r="F21" s="346"/>
      <c r="G21" s="346"/>
      <c r="H21" s="346"/>
      <c r="I21" s="340"/>
      <c r="J21" s="340"/>
      <c r="K21" s="340"/>
      <c r="L21" s="345"/>
      <c r="M21" s="50"/>
      <c r="N21" s="440">
        <f>+O21</f>
        <v>5710</v>
      </c>
      <c r="O21" s="437">
        <f>22840*COUNTA(D21:D23)/12</f>
        <v>5710</v>
      </c>
      <c r="P21" s="345"/>
      <c r="Q21" s="69"/>
      <c r="R21" s="433">
        <f>+S21+U21</f>
        <v>275</v>
      </c>
      <c r="S21" s="433">
        <v>144</v>
      </c>
      <c r="T21" s="347"/>
      <c r="U21" s="433">
        <v>131</v>
      </c>
      <c r="V21" s="346"/>
      <c r="W21" s="346"/>
      <c r="X21" s="70"/>
      <c r="Y21" s="433">
        <v>184431.5</v>
      </c>
      <c r="Z21" s="431">
        <f>+Y21/10.6207</f>
        <v>17365.286657188321</v>
      </c>
      <c r="AA21" s="345"/>
    </row>
    <row r="22" spans="2:27" x14ac:dyDescent="0.25">
      <c r="D22" s="49" t="s">
        <v>20</v>
      </c>
      <c r="E22" s="68"/>
      <c r="F22" s="72"/>
      <c r="G22" s="72"/>
      <c r="H22" s="72"/>
      <c r="I22" s="322"/>
      <c r="J22" s="322"/>
      <c r="K22" s="322"/>
      <c r="L22" s="320"/>
      <c r="M22" s="50"/>
      <c r="N22" s="440"/>
      <c r="O22" s="437"/>
      <c r="P22" s="320"/>
      <c r="Q22" s="69"/>
      <c r="R22" s="433"/>
      <c r="S22" s="433"/>
      <c r="T22" s="71"/>
      <c r="U22" s="433"/>
      <c r="V22" s="72"/>
      <c r="W22" s="72"/>
      <c r="X22" s="69"/>
      <c r="Y22" s="433"/>
      <c r="Z22" s="431"/>
      <c r="AA22" s="320"/>
    </row>
    <row r="23" spans="2:27" x14ac:dyDescent="0.25">
      <c r="D23" s="49" t="s">
        <v>21</v>
      </c>
      <c r="E23" s="68"/>
      <c r="F23" s="72"/>
      <c r="G23" s="72"/>
      <c r="H23" s="72"/>
      <c r="I23" s="322"/>
      <c r="J23" s="322"/>
      <c r="K23" s="322"/>
      <c r="L23" s="320"/>
      <c r="M23" s="50"/>
      <c r="N23" s="443"/>
      <c r="O23" s="442"/>
      <c r="P23" s="320"/>
      <c r="Q23" s="69"/>
      <c r="R23" s="433"/>
      <c r="S23" s="433"/>
      <c r="T23" s="71"/>
      <c r="U23" s="433"/>
      <c r="V23" s="72"/>
      <c r="W23" s="72"/>
      <c r="X23" s="69"/>
      <c r="Y23" s="433"/>
      <c r="Z23" s="431"/>
      <c r="AA23" s="320"/>
    </row>
    <row r="24" spans="2:27" x14ac:dyDescent="0.25">
      <c r="D24" s="49" t="s">
        <v>22</v>
      </c>
      <c r="E24" s="68"/>
      <c r="F24" s="72"/>
      <c r="G24" s="72"/>
      <c r="H24" s="72"/>
      <c r="I24" s="322"/>
      <c r="J24" s="322"/>
      <c r="K24" s="322"/>
      <c r="L24" s="320"/>
      <c r="M24" s="50"/>
      <c r="N24" s="446">
        <f>+O24</f>
        <v>15002</v>
      </c>
      <c r="O24" s="444">
        <f>+(2672+1833)+(6325+4172)</f>
        <v>15002</v>
      </c>
      <c r="P24" s="428">
        <f>+(8738.34+15042.98+358.26+1579.26+7425.99+104.11)+(11462.18+4864.05+424.56)</f>
        <v>49999.729999999996</v>
      </c>
      <c r="Q24" s="69"/>
      <c r="R24" s="433"/>
      <c r="S24" s="433"/>
      <c r="T24" s="71"/>
      <c r="U24" s="433"/>
      <c r="V24" s="72"/>
      <c r="W24" s="72"/>
      <c r="X24" s="69"/>
      <c r="Y24" s="433"/>
      <c r="Z24" s="431"/>
      <c r="AA24" s="320"/>
    </row>
    <row r="25" spans="2:27" x14ac:dyDescent="0.25">
      <c r="D25" s="49" t="s">
        <v>23</v>
      </c>
      <c r="E25" s="68"/>
      <c r="F25" s="72"/>
      <c r="G25" s="72"/>
      <c r="H25" s="72"/>
      <c r="I25" s="322"/>
      <c r="J25" s="322"/>
      <c r="K25" s="322"/>
      <c r="L25" s="320"/>
      <c r="M25" s="50"/>
      <c r="N25" s="433"/>
      <c r="O25" s="431"/>
      <c r="P25" s="429"/>
      <c r="Q25" s="69"/>
      <c r="R25" s="433"/>
      <c r="S25" s="433"/>
      <c r="T25" s="71"/>
      <c r="U25" s="433"/>
      <c r="V25" s="72"/>
      <c r="W25" s="72"/>
      <c r="X25" s="69"/>
      <c r="Y25" s="433"/>
      <c r="Z25" s="431"/>
      <c r="AA25" s="320"/>
    </row>
    <row r="26" spans="2:27" x14ac:dyDescent="0.25">
      <c r="D26" s="49" t="s">
        <v>24</v>
      </c>
      <c r="E26" s="68"/>
      <c r="F26" s="72"/>
      <c r="G26" s="72"/>
      <c r="H26" s="72"/>
      <c r="I26" s="322"/>
      <c r="J26" s="322"/>
      <c r="K26" s="322"/>
      <c r="L26" s="320"/>
      <c r="M26" s="50"/>
      <c r="N26" s="433"/>
      <c r="O26" s="431"/>
      <c r="P26" s="429"/>
      <c r="Q26" s="69"/>
      <c r="R26" s="433"/>
      <c r="S26" s="433"/>
      <c r="T26" s="71"/>
      <c r="U26" s="433"/>
      <c r="V26" s="72"/>
      <c r="W26" s="72"/>
      <c r="X26" s="69"/>
      <c r="Y26" s="434"/>
      <c r="Z26" s="432"/>
      <c r="AA26" s="320"/>
    </row>
    <row r="27" spans="2:27" x14ac:dyDescent="0.25">
      <c r="D27" s="49" t="s">
        <v>25</v>
      </c>
      <c r="E27" s="68"/>
      <c r="F27" s="72"/>
      <c r="G27" s="72"/>
      <c r="H27" s="72"/>
      <c r="I27" s="322"/>
      <c r="J27" s="322"/>
      <c r="K27" s="322"/>
      <c r="L27" s="320"/>
      <c r="M27" s="50"/>
      <c r="N27" s="433"/>
      <c r="O27" s="431"/>
      <c r="P27" s="429"/>
      <c r="Q27" s="69"/>
      <c r="R27" s="433"/>
      <c r="S27" s="433"/>
      <c r="T27" s="71"/>
      <c r="U27" s="433"/>
      <c r="V27" s="72"/>
      <c r="W27" s="72"/>
      <c r="X27" s="69"/>
      <c r="Y27" s="446">
        <v>108035.2</v>
      </c>
      <c r="Z27" s="444">
        <f>+Y27/10.6761</f>
        <v>10119.350699225371</v>
      </c>
      <c r="AA27" s="461">
        <f>((12466.18+12256.07+233.36)+(107051+861.29))*0</f>
        <v>0</v>
      </c>
    </row>
    <row r="28" spans="2:27" x14ac:dyDescent="0.25">
      <c r="D28" s="49" t="s">
        <v>26</v>
      </c>
      <c r="E28" s="68"/>
      <c r="F28" s="72"/>
      <c r="G28" s="72"/>
      <c r="H28" s="72"/>
      <c r="I28" s="322"/>
      <c r="J28" s="322"/>
      <c r="K28" s="322"/>
      <c r="L28" s="320"/>
      <c r="M28" s="50"/>
      <c r="N28" s="433"/>
      <c r="O28" s="431"/>
      <c r="P28" s="429"/>
      <c r="Q28" s="69"/>
      <c r="R28" s="433"/>
      <c r="S28" s="433"/>
      <c r="T28" s="71"/>
      <c r="U28" s="433"/>
      <c r="V28" s="72"/>
      <c r="W28" s="72"/>
      <c r="X28" s="69"/>
      <c r="Y28" s="433"/>
      <c r="Z28" s="431"/>
      <c r="AA28" s="462"/>
    </row>
    <row r="29" spans="2:27" x14ac:dyDescent="0.25">
      <c r="D29" s="49" t="s">
        <v>27</v>
      </c>
      <c r="E29" s="68"/>
      <c r="F29" s="72"/>
      <c r="G29" s="72"/>
      <c r="H29" s="72"/>
      <c r="I29" s="322"/>
      <c r="J29" s="322"/>
      <c r="K29" s="322"/>
      <c r="L29" s="320"/>
      <c r="M29" s="50"/>
      <c r="N29" s="433"/>
      <c r="O29" s="431"/>
      <c r="P29" s="429"/>
      <c r="Q29" s="69"/>
      <c r="R29" s="433"/>
      <c r="S29" s="433"/>
      <c r="T29" s="71"/>
      <c r="U29" s="433"/>
      <c r="V29" s="72"/>
      <c r="W29" s="72"/>
      <c r="X29" s="69"/>
      <c r="Y29" s="433"/>
      <c r="Z29" s="431"/>
      <c r="AA29" s="462"/>
    </row>
    <row r="30" spans="2:27" x14ac:dyDescent="0.25">
      <c r="D30" s="49" t="s">
        <v>28</v>
      </c>
      <c r="E30" s="68"/>
      <c r="F30" s="72"/>
      <c r="G30" s="72"/>
      <c r="H30" s="72"/>
      <c r="I30" s="322"/>
      <c r="J30" s="322"/>
      <c r="K30" s="322"/>
      <c r="L30" s="320"/>
      <c r="M30" s="50"/>
      <c r="N30" s="433"/>
      <c r="O30" s="431"/>
      <c r="P30" s="429"/>
      <c r="Q30" s="69"/>
      <c r="R30" s="433"/>
      <c r="S30" s="433"/>
      <c r="T30" s="71"/>
      <c r="U30" s="433"/>
      <c r="V30" s="72"/>
      <c r="W30" s="72"/>
      <c r="X30" s="69"/>
      <c r="Y30" s="433"/>
      <c r="Z30" s="431"/>
      <c r="AA30" s="462"/>
    </row>
    <row r="31" spans="2:27" x14ac:dyDescent="0.25">
      <c r="D31" s="49" t="s">
        <v>29</v>
      </c>
      <c r="E31" s="68"/>
      <c r="F31" s="72"/>
      <c r="G31" s="72"/>
      <c r="H31" s="72"/>
      <c r="I31" s="322"/>
      <c r="J31" s="322"/>
      <c r="K31" s="322"/>
      <c r="L31" s="320"/>
      <c r="M31" s="50"/>
      <c r="N31" s="433"/>
      <c r="O31" s="431"/>
      <c r="P31" s="429"/>
      <c r="Q31" s="69"/>
      <c r="R31" s="433"/>
      <c r="S31" s="433"/>
      <c r="T31" s="71"/>
      <c r="U31" s="433"/>
      <c r="V31" s="72"/>
      <c r="W31" s="72"/>
      <c r="X31" s="69"/>
      <c r="Y31" s="433"/>
      <c r="Z31" s="431"/>
      <c r="AA31" s="462"/>
    </row>
    <row r="32" spans="2:27" x14ac:dyDescent="0.25">
      <c r="D32" s="49" t="s">
        <v>30</v>
      </c>
      <c r="E32" s="68"/>
      <c r="F32" s="74"/>
      <c r="G32" s="74"/>
      <c r="H32" s="74"/>
      <c r="I32" s="323"/>
      <c r="J32" s="323"/>
      <c r="K32" s="323"/>
      <c r="L32" s="321"/>
      <c r="M32" s="50"/>
      <c r="N32" s="447"/>
      <c r="O32" s="445"/>
      <c r="P32" s="430"/>
      <c r="Q32" s="50"/>
      <c r="R32" s="447"/>
      <c r="S32" s="447"/>
      <c r="T32" s="73"/>
      <c r="U32" s="447"/>
      <c r="V32" s="74"/>
      <c r="W32" s="74"/>
      <c r="X32" s="69"/>
      <c r="Y32" s="447"/>
      <c r="Z32" s="445"/>
      <c r="AA32" s="463"/>
    </row>
    <row r="33" spans="2:27" x14ac:dyDescent="0.25">
      <c r="B33" s="52"/>
      <c r="C33" s="52"/>
      <c r="D33" s="53"/>
      <c r="E33" s="75"/>
      <c r="F33" s="54">
        <f>SUM(F21:F32)</f>
        <v>0</v>
      </c>
      <c r="G33" s="54">
        <f t="shared" ref="G33:L33" si="4">SUM(G21:G32)</f>
        <v>0</v>
      </c>
      <c r="H33" s="54">
        <f t="shared" si="4"/>
        <v>0</v>
      </c>
      <c r="I33" s="54">
        <f t="shared" si="4"/>
        <v>0</v>
      </c>
      <c r="J33" s="54">
        <f t="shared" si="4"/>
        <v>0</v>
      </c>
      <c r="K33" s="54">
        <f t="shared" si="4"/>
        <v>0</v>
      </c>
      <c r="L33" s="54">
        <f t="shared" si="4"/>
        <v>0</v>
      </c>
      <c r="M33" s="54"/>
      <c r="N33" s="54">
        <f>SUM(N21:N32)</f>
        <v>20712</v>
      </c>
      <c r="O33" s="54"/>
      <c r="P33" s="54">
        <f>SUM(P21:P32)</f>
        <v>49999.729999999996</v>
      </c>
      <c r="Q33" s="54"/>
      <c r="R33" s="54">
        <f t="shared" ref="R33:W33" si="5">SUM(R21:R32)</f>
        <v>275</v>
      </c>
      <c r="S33" s="54"/>
      <c r="T33" s="54"/>
      <c r="U33" s="54"/>
      <c r="V33" s="54"/>
      <c r="W33" s="54">
        <f t="shared" si="5"/>
        <v>0</v>
      </c>
      <c r="X33" s="55"/>
      <c r="Y33" s="54">
        <f t="shared" ref="Y33:AA33" si="6">SUM(Y21:Y32)</f>
        <v>292466.7</v>
      </c>
      <c r="Z33" s="54">
        <f t="shared" si="6"/>
        <v>27484.637356413692</v>
      </c>
      <c r="AA33" s="54">
        <f t="shared" si="6"/>
        <v>0</v>
      </c>
    </row>
    <row r="34" spans="2:27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60499.673299999995</v>
      </c>
      <c r="Q34" s="51"/>
      <c r="R34" s="59">
        <v>0.15</v>
      </c>
      <c r="S34" s="59"/>
      <c r="T34" s="59"/>
      <c r="U34" s="59"/>
      <c r="V34" s="59"/>
      <c r="W34" s="60">
        <f>W33*(1+R34)</f>
        <v>0</v>
      </c>
      <c r="X34" s="51"/>
      <c r="Y34" s="59">
        <v>0.21</v>
      </c>
      <c r="Z34" s="51"/>
      <c r="AA34" s="60">
        <f>AA33*(1+Y34)</f>
        <v>0</v>
      </c>
    </row>
    <row r="35" spans="2:27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78"/>
      <c r="O35" s="78"/>
      <c r="P35" s="78"/>
      <c r="Q35" s="80"/>
      <c r="R35" s="78"/>
      <c r="S35" s="78"/>
      <c r="T35" s="78"/>
      <c r="U35" s="78"/>
      <c r="V35" s="78"/>
      <c r="W35" s="78"/>
      <c r="X35" s="80"/>
      <c r="AA35" s="78"/>
    </row>
    <row r="36" spans="2:27" x14ac:dyDescent="0.25">
      <c r="D36" s="49" t="s">
        <v>19</v>
      </c>
      <c r="E36" s="68"/>
      <c r="F36" s="346"/>
      <c r="G36" s="346"/>
      <c r="H36" s="346"/>
      <c r="I36" s="346"/>
      <c r="J36" s="82"/>
      <c r="K36" s="82"/>
      <c r="L36" s="83"/>
      <c r="M36" s="81"/>
      <c r="N36" s="433">
        <f t="shared" ref="N36:N39" si="7">+O36</f>
        <v>7254</v>
      </c>
      <c r="O36" s="431">
        <f>4080+3174</f>
        <v>7254</v>
      </c>
      <c r="P36" s="429">
        <f>+(3434.34+7049.3+193.49+723.3+3590.73+22.15)+(4704.24+2329.72+205.29)</f>
        <v>22252.559999999998</v>
      </c>
      <c r="Q36" s="69"/>
      <c r="R36" s="433">
        <f>+S36+U36</f>
        <v>269</v>
      </c>
      <c r="S36" s="431">
        <v>129</v>
      </c>
      <c r="T36" s="431">
        <v>10933.18</v>
      </c>
      <c r="U36" s="431">
        <v>140</v>
      </c>
      <c r="V36" s="431">
        <v>11879.2</v>
      </c>
      <c r="W36" s="429">
        <f>+T36+V36</f>
        <v>22812.38</v>
      </c>
      <c r="X36" s="70"/>
      <c r="Y36" s="433">
        <v>172744.57</v>
      </c>
      <c r="Z36" s="431">
        <f>+Y36/10.6761</f>
        <v>16180.493813283878</v>
      </c>
      <c r="AA36" s="429">
        <f>(22160.54+14303.32+480.91)*COUNTA(D36:D39)/COUNTA($D$36:$D$41)+(171170.87+600)</f>
        <v>196400.71666666667</v>
      </c>
    </row>
    <row r="37" spans="2:27" x14ac:dyDescent="0.25">
      <c r="D37" s="49" t="s">
        <v>20</v>
      </c>
      <c r="E37" s="68"/>
      <c r="F37" s="72"/>
      <c r="G37" s="72"/>
      <c r="H37" s="72"/>
      <c r="I37" s="72"/>
      <c r="J37" s="84"/>
      <c r="K37" s="84"/>
      <c r="L37" s="85"/>
      <c r="M37" s="81"/>
      <c r="N37" s="433"/>
      <c r="O37" s="431"/>
      <c r="P37" s="429"/>
      <c r="Q37" s="69"/>
      <c r="R37" s="433"/>
      <c r="S37" s="431"/>
      <c r="T37" s="431"/>
      <c r="U37" s="431"/>
      <c r="V37" s="431"/>
      <c r="W37" s="429"/>
      <c r="X37" s="69"/>
      <c r="Y37" s="433"/>
      <c r="Z37" s="431"/>
      <c r="AA37" s="429"/>
    </row>
    <row r="38" spans="2:27" x14ac:dyDescent="0.25">
      <c r="D38" s="49" t="s">
        <v>21</v>
      </c>
      <c r="E38" s="68"/>
      <c r="F38" s="72"/>
      <c r="G38" s="72"/>
      <c r="H38" s="72"/>
      <c r="I38" s="72"/>
      <c r="J38" s="84"/>
      <c r="K38" s="84"/>
      <c r="L38" s="85"/>
      <c r="M38" s="81"/>
      <c r="N38" s="434"/>
      <c r="O38" s="432"/>
      <c r="P38" s="435"/>
      <c r="Q38" s="69"/>
      <c r="R38" s="433"/>
      <c r="S38" s="431"/>
      <c r="T38" s="431"/>
      <c r="U38" s="431"/>
      <c r="V38" s="431"/>
      <c r="W38" s="429"/>
      <c r="X38" s="69"/>
      <c r="Y38" s="433"/>
      <c r="Z38" s="431"/>
      <c r="AA38" s="429"/>
    </row>
    <row r="39" spans="2:27" x14ac:dyDescent="0.25">
      <c r="D39" s="49" t="s">
        <v>22</v>
      </c>
      <c r="E39" s="68"/>
      <c r="F39" s="72"/>
      <c r="G39" s="72"/>
      <c r="H39" s="72"/>
      <c r="I39" s="72"/>
      <c r="J39" s="84"/>
      <c r="K39" s="84"/>
      <c r="L39" s="85"/>
      <c r="M39" s="81"/>
      <c r="N39" s="446">
        <f t="shared" si="7"/>
        <v>15320</v>
      </c>
      <c r="O39" s="444">
        <f>9299+6021</f>
        <v>15320</v>
      </c>
      <c r="P39" s="428">
        <v>49981.72</v>
      </c>
      <c r="Q39" s="69"/>
      <c r="R39" s="433"/>
      <c r="S39" s="431"/>
      <c r="T39" s="431"/>
      <c r="U39" s="431"/>
      <c r="V39" s="431"/>
      <c r="W39" s="429"/>
      <c r="X39" s="69"/>
      <c r="Y39" s="434"/>
      <c r="Z39" s="432"/>
      <c r="AA39" s="435"/>
    </row>
    <row r="40" spans="2:27" x14ac:dyDescent="0.25">
      <c r="D40" s="49" t="s">
        <v>23</v>
      </c>
      <c r="E40" s="68"/>
      <c r="F40" s="72"/>
      <c r="G40" s="72"/>
      <c r="H40" s="72"/>
      <c r="I40" s="72"/>
      <c r="J40" s="84"/>
      <c r="K40" s="84"/>
      <c r="L40" s="85"/>
      <c r="M40" s="81"/>
      <c r="N40" s="433"/>
      <c r="O40" s="431"/>
      <c r="P40" s="429"/>
      <c r="Q40" s="69"/>
      <c r="R40" s="433"/>
      <c r="S40" s="431"/>
      <c r="T40" s="431"/>
      <c r="U40" s="431"/>
      <c r="V40" s="431"/>
      <c r="W40" s="429"/>
      <c r="X40" s="69"/>
      <c r="Y40" s="446">
        <v>10809.97</v>
      </c>
      <c r="Z40" s="444">
        <f>+Y40/10.6761</f>
        <v>1012.5392231245492</v>
      </c>
      <c r="AA40" s="428">
        <f>(22160.54+14303.32+480.91)*COUNTA(D40:D41)/COUNTA($D$36:$D$41)+(9636.87+358.06)</f>
        <v>22309.853333333333</v>
      </c>
    </row>
    <row r="41" spans="2:27" x14ac:dyDescent="0.25">
      <c r="D41" s="49" t="s">
        <v>24</v>
      </c>
      <c r="E41" s="68"/>
      <c r="F41" s="72"/>
      <c r="G41" s="72"/>
      <c r="H41" s="72"/>
      <c r="I41" s="72"/>
      <c r="J41" s="84"/>
      <c r="K41" s="84"/>
      <c r="L41" s="85"/>
      <c r="M41" s="81"/>
      <c r="N41" s="433"/>
      <c r="O41" s="431"/>
      <c r="P41" s="429"/>
      <c r="Q41" s="69"/>
      <c r="R41" s="433"/>
      <c r="S41" s="431"/>
      <c r="T41" s="431"/>
      <c r="U41" s="431"/>
      <c r="V41" s="431"/>
      <c r="W41" s="429"/>
      <c r="X41" s="69"/>
      <c r="Y41" s="434"/>
      <c r="Z41" s="432"/>
      <c r="AA41" s="435"/>
    </row>
    <row r="42" spans="2:27" x14ac:dyDescent="0.25">
      <c r="D42" s="49" t="s">
        <v>25</v>
      </c>
      <c r="E42" s="68"/>
      <c r="F42" s="72"/>
      <c r="G42" s="72"/>
      <c r="H42" s="72"/>
      <c r="I42" s="72"/>
      <c r="J42" s="84"/>
      <c r="K42" s="84"/>
      <c r="L42" s="85"/>
      <c r="M42" s="81"/>
      <c r="N42" s="433"/>
      <c r="O42" s="431"/>
      <c r="P42" s="429"/>
      <c r="Q42" s="69"/>
      <c r="R42" s="433"/>
      <c r="S42" s="431"/>
      <c r="T42" s="431"/>
      <c r="U42" s="431"/>
      <c r="V42" s="431"/>
      <c r="W42" s="429"/>
      <c r="X42" s="69"/>
      <c r="Y42" s="446">
        <v>132582.5</v>
      </c>
      <c r="Z42" s="444">
        <f>+Y42/10.6712</f>
        <v>12424.329035160055</v>
      </c>
      <c r="AA42" s="428">
        <v>152148.28</v>
      </c>
    </row>
    <row r="43" spans="2:27" x14ac:dyDescent="0.25">
      <c r="D43" s="49" t="s">
        <v>26</v>
      </c>
      <c r="E43" s="68"/>
      <c r="F43" s="72"/>
      <c r="G43" s="72"/>
      <c r="H43" s="72"/>
      <c r="I43" s="72"/>
      <c r="J43" s="84"/>
      <c r="K43" s="84"/>
      <c r="L43" s="85"/>
      <c r="M43" s="81"/>
      <c r="N43" s="433"/>
      <c r="O43" s="431"/>
      <c r="P43" s="429"/>
      <c r="Q43" s="69"/>
      <c r="R43" s="433"/>
      <c r="S43" s="431"/>
      <c r="T43" s="431"/>
      <c r="U43" s="431"/>
      <c r="V43" s="431"/>
      <c r="W43" s="429"/>
      <c r="X43" s="69"/>
      <c r="Y43" s="433"/>
      <c r="Z43" s="431"/>
      <c r="AA43" s="429"/>
    </row>
    <row r="44" spans="2:27" x14ac:dyDescent="0.25">
      <c r="D44" s="49" t="s">
        <v>27</v>
      </c>
      <c r="E44" s="68"/>
      <c r="F44" s="72"/>
      <c r="G44" s="72"/>
      <c r="H44" s="72"/>
      <c r="I44" s="72"/>
      <c r="J44" s="84"/>
      <c r="K44" s="84"/>
      <c r="L44" s="85"/>
      <c r="M44" s="81"/>
      <c r="N44" s="433"/>
      <c r="O44" s="431"/>
      <c r="P44" s="429"/>
      <c r="Q44" s="69"/>
      <c r="R44" s="433"/>
      <c r="S44" s="431"/>
      <c r="T44" s="431"/>
      <c r="U44" s="431"/>
      <c r="V44" s="431"/>
      <c r="W44" s="429"/>
      <c r="X44" s="69"/>
      <c r="Y44" s="433"/>
      <c r="Z44" s="431"/>
      <c r="AA44" s="429"/>
    </row>
    <row r="45" spans="2:27" x14ac:dyDescent="0.25">
      <c r="D45" s="49" t="s">
        <v>28</v>
      </c>
      <c r="E45" s="68"/>
      <c r="F45" s="72"/>
      <c r="G45" s="72"/>
      <c r="H45" s="72"/>
      <c r="I45" s="72"/>
      <c r="J45" s="84"/>
      <c r="K45" s="84"/>
      <c r="L45" s="85"/>
      <c r="M45" s="81"/>
      <c r="N45" s="433"/>
      <c r="O45" s="431"/>
      <c r="P45" s="429"/>
      <c r="Q45" s="69"/>
      <c r="R45" s="433"/>
      <c r="S45" s="431"/>
      <c r="T45" s="431"/>
      <c r="U45" s="431"/>
      <c r="V45" s="431"/>
      <c r="W45" s="429"/>
      <c r="X45" s="69"/>
      <c r="Y45" s="433"/>
      <c r="Z45" s="431"/>
      <c r="AA45" s="429"/>
    </row>
    <row r="46" spans="2:27" x14ac:dyDescent="0.25">
      <c r="D46" s="49" t="s">
        <v>29</v>
      </c>
      <c r="E46" s="68"/>
      <c r="F46" s="72"/>
      <c r="G46" s="72"/>
      <c r="H46" s="72"/>
      <c r="I46" s="72"/>
      <c r="J46" s="84"/>
      <c r="K46" s="84"/>
      <c r="L46" s="85"/>
      <c r="M46" s="81"/>
      <c r="N46" s="433"/>
      <c r="O46" s="431"/>
      <c r="P46" s="429"/>
      <c r="Q46" s="69"/>
      <c r="R46" s="433"/>
      <c r="S46" s="431"/>
      <c r="T46" s="431"/>
      <c r="U46" s="431"/>
      <c r="V46" s="431"/>
      <c r="W46" s="429"/>
      <c r="X46" s="69"/>
      <c r="Y46" s="433"/>
      <c r="Z46" s="431"/>
      <c r="AA46" s="429"/>
    </row>
    <row r="47" spans="2:27" x14ac:dyDescent="0.25">
      <c r="D47" s="49" t="s">
        <v>30</v>
      </c>
      <c r="E47" s="68"/>
      <c r="F47" s="74"/>
      <c r="G47" s="74"/>
      <c r="H47" s="74"/>
      <c r="I47" s="74"/>
      <c r="J47" s="86"/>
      <c r="K47" s="86"/>
      <c r="L47" s="87"/>
      <c r="M47" s="81"/>
      <c r="N47" s="447"/>
      <c r="O47" s="445"/>
      <c r="P47" s="430"/>
      <c r="Q47" s="50"/>
      <c r="R47" s="447"/>
      <c r="S47" s="445"/>
      <c r="T47" s="445"/>
      <c r="U47" s="445"/>
      <c r="V47" s="445"/>
      <c r="W47" s="430"/>
      <c r="X47" s="69"/>
      <c r="Y47" s="447"/>
      <c r="Z47" s="445"/>
      <c r="AA47" s="430"/>
    </row>
    <row r="48" spans="2:27" x14ac:dyDescent="0.25">
      <c r="B48" s="52"/>
      <c r="C48" s="52"/>
      <c r="D48" s="53"/>
      <c r="E48" s="75"/>
      <c r="F48" s="54">
        <f>SUM(F36:F47)</f>
        <v>0</v>
      </c>
      <c r="G48" s="54">
        <f t="shared" ref="G48:L48" si="8">SUM(G36:G47)</f>
        <v>0</v>
      </c>
      <c r="H48" s="54">
        <f t="shared" si="8"/>
        <v>0</v>
      </c>
      <c r="I48" s="54">
        <f t="shared" si="8"/>
        <v>0</v>
      </c>
      <c r="J48" s="54">
        <f t="shared" si="8"/>
        <v>0</v>
      </c>
      <c r="K48" s="54">
        <f t="shared" si="8"/>
        <v>0</v>
      </c>
      <c r="L48" s="54">
        <f t="shared" si="8"/>
        <v>0</v>
      </c>
      <c r="M48" s="54"/>
      <c r="N48" s="54">
        <f>SUM(N36:N47)</f>
        <v>22574</v>
      </c>
      <c r="O48" s="54"/>
      <c r="P48" s="54">
        <f>SUM(P36:P47)</f>
        <v>72234.28</v>
      </c>
      <c r="Q48" s="54"/>
      <c r="R48" s="54">
        <f t="shared" ref="R48:W48" si="9">SUM(R36:R47)</f>
        <v>269</v>
      </c>
      <c r="S48" s="54"/>
      <c r="T48" s="54"/>
      <c r="U48" s="54"/>
      <c r="V48" s="54"/>
      <c r="W48" s="54">
        <f t="shared" si="9"/>
        <v>22812.38</v>
      </c>
      <c r="X48" s="55"/>
      <c r="Y48" s="54">
        <f t="shared" ref="Y48:AA48" si="10">SUM(Y36:Y47)</f>
        <v>316137.04000000004</v>
      </c>
      <c r="Z48" s="54">
        <f t="shared" si="10"/>
        <v>29617.362071568481</v>
      </c>
      <c r="AA48" s="54">
        <f t="shared" si="10"/>
        <v>370858.85</v>
      </c>
    </row>
    <row r="49" spans="1:27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87403.478799999997</v>
      </c>
      <c r="Q49" s="51"/>
      <c r="R49" s="59">
        <v>0.15</v>
      </c>
      <c r="S49" s="59"/>
      <c r="T49" s="59"/>
      <c r="U49" s="59"/>
      <c r="V49" s="59"/>
      <c r="W49" s="60">
        <f>W48*(1+R49)</f>
        <v>26234.236999999997</v>
      </c>
      <c r="X49" s="51"/>
      <c r="Y49" s="59">
        <v>0.21</v>
      </c>
      <c r="Z49" s="51"/>
      <c r="AA49" s="60">
        <f>AA48*(1+Y49)</f>
        <v>448739.20849999995</v>
      </c>
    </row>
    <row r="51" spans="1:27" x14ac:dyDescent="0.25">
      <c r="B51" s="41" t="s">
        <v>36</v>
      </c>
      <c r="P51" s="43"/>
      <c r="Q51" s="88"/>
      <c r="R51" s="43"/>
      <c r="S51" s="43"/>
      <c r="T51" s="43"/>
      <c r="U51" s="43"/>
      <c r="V51" s="43"/>
      <c r="W51" s="43"/>
      <c r="X51" s="88"/>
      <c r="Y51" s="43"/>
      <c r="Z51" s="43"/>
      <c r="AA51" s="43"/>
    </row>
    <row r="52" spans="1:27" x14ac:dyDescent="0.25">
      <c r="B52" s="89" t="s">
        <v>199</v>
      </c>
    </row>
    <row r="53" spans="1:27" x14ac:dyDescent="0.25">
      <c r="B53" s="89" t="s">
        <v>221</v>
      </c>
    </row>
    <row r="54" spans="1:27" x14ac:dyDescent="0.25">
      <c r="B54" s="89" t="s">
        <v>220</v>
      </c>
    </row>
    <row r="55" spans="1:27" x14ac:dyDescent="0.25">
      <c r="A55" s="89"/>
      <c r="B55" s="89"/>
    </row>
    <row r="56" spans="1:27" x14ac:dyDescent="0.25">
      <c r="B56" s="89"/>
    </row>
    <row r="57" spans="1:27" x14ac:dyDescent="0.25">
      <c r="B57" s="91"/>
    </row>
    <row r="58" spans="1:27" x14ac:dyDescent="0.25">
      <c r="B58" s="91"/>
    </row>
    <row r="59" spans="1:27" x14ac:dyDescent="0.25">
      <c r="B59" s="91"/>
    </row>
    <row r="60" spans="1:27" x14ac:dyDescent="0.25">
      <c r="B60" s="91"/>
    </row>
    <row r="61" spans="1:27" x14ac:dyDescent="0.25">
      <c r="B61" s="91"/>
    </row>
  </sheetData>
  <mergeCells count="58">
    <mergeCell ref="U21:U32"/>
    <mergeCell ref="R36:R47"/>
    <mergeCell ref="S36:S47"/>
    <mergeCell ref="W36:W47"/>
    <mergeCell ref="R21:R32"/>
    <mergeCell ref="S21:S32"/>
    <mergeCell ref="N39:N47"/>
    <mergeCell ref="O39:O47"/>
    <mergeCell ref="P39:P47"/>
    <mergeCell ref="V36:V47"/>
    <mergeCell ref="T36:T47"/>
    <mergeCell ref="U36:U47"/>
    <mergeCell ref="O24:O32"/>
    <mergeCell ref="N36:N38"/>
    <mergeCell ref="O36:O38"/>
    <mergeCell ref="P36:P38"/>
    <mergeCell ref="N9:N17"/>
    <mergeCell ref="O9:O17"/>
    <mergeCell ref="N21:N23"/>
    <mergeCell ref="O21:O23"/>
    <mergeCell ref="N24:N32"/>
    <mergeCell ref="P24:P32"/>
    <mergeCell ref="N6:N8"/>
    <mergeCell ref="O6:O8"/>
    <mergeCell ref="R6:R17"/>
    <mergeCell ref="S6:S17"/>
    <mergeCell ref="D2:D4"/>
    <mergeCell ref="F2:L2"/>
    <mergeCell ref="N2:P2"/>
    <mergeCell ref="R2:W2"/>
    <mergeCell ref="S4:T4"/>
    <mergeCell ref="U4:V4"/>
    <mergeCell ref="U6:U17"/>
    <mergeCell ref="Y2:AA2"/>
    <mergeCell ref="F3:G3"/>
    <mergeCell ref="H3:I3"/>
    <mergeCell ref="J3:L3"/>
    <mergeCell ref="N3:P3"/>
    <mergeCell ref="R3:W3"/>
    <mergeCell ref="Y3:AA3"/>
    <mergeCell ref="AA36:AA39"/>
    <mergeCell ref="AA40:AA41"/>
    <mergeCell ref="AA27:AA32"/>
    <mergeCell ref="Y42:Y47"/>
    <mergeCell ref="Z42:Z47"/>
    <mergeCell ref="AA42:AA47"/>
    <mergeCell ref="Y27:Y32"/>
    <mergeCell ref="Z27:Z32"/>
    <mergeCell ref="Y36:Y39"/>
    <mergeCell ref="Z36:Z39"/>
    <mergeCell ref="Y40:Y41"/>
    <mergeCell ref="Z40:Z41"/>
    <mergeCell ref="Y12:Y17"/>
    <mergeCell ref="Z12:Z17"/>
    <mergeCell ref="Y21:Y26"/>
    <mergeCell ref="Z21:Z26"/>
    <mergeCell ref="Y6:Y11"/>
    <mergeCell ref="Z6:Z11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Y61"/>
  <sheetViews>
    <sheetView zoomScaleNormal="100" workbookViewId="0">
      <pane ySplit="4" topLeftCell="A17" activePane="bottomLeft" state="frozen"/>
      <selection pane="bottomLeft" activeCell="Y4" sqref="Y4:Y32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customWidth="1" outlineLevel="1"/>
    <col min="16" max="16" width="12.7109375" style="40" customWidth="1"/>
    <col min="17" max="17" width="3.28515625" style="42" customWidth="1"/>
    <col min="18" max="18" width="14" style="40" customWidth="1"/>
    <col min="19" max="19" width="14" style="40" hidden="1" customWidth="1" outlineLevel="1"/>
    <col min="20" max="20" width="14" style="40" customWidth="1" collapsed="1"/>
    <col min="21" max="21" width="3.28515625" style="42" customWidth="1"/>
    <col min="22" max="24" width="10.140625" style="40"/>
    <col min="25" max="25" width="10.140625" style="40" customWidth="1" outlineLevel="1"/>
    <col min="26" max="265" width="10.140625" style="40"/>
    <col min="266" max="278" width="14" style="40" customWidth="1"/>
    <col min="279" max="521" width="10.140625" style="40"/>
    <col min="522" max="534" width="14" style="40" customWidth="1"/>
    <col min="535" max="777" width="10.140625" style="40"/>
    <col min="778" max="790" width="14" style="40" customWidth="1"/>
    <col min="791" max="1033" width="10.140625" style="40"/>
    <col min="1034" max="1046" width="14" style="40" customWidth="1"/>
    <col min="1047" max="1289" width="10.140625" style="40"/>
    <col min="1290" max="1302" width="14" style="40" customWidth="1"/>
    <col min="1303" max="1545" width="10.140625" style="40"/>
    <col min="1546" max="1558" width="14" style="40" customWidth="1"/>
    <col min="1559" max="1801" width="10.140625" style="40"/>
    <col min="1802" max="1814" width="14" style="40" customWidth="1"/>
    <col min="1815" max="2057" width="10.140625" style="40"/>
    <col min="2058" max="2070" width="14" style="40" customWidth="1"/>
    <col min="2071" max="2313" width="10.140625" style="40"/>
    <col min="2314" max="2326" width="14" style="40" customWidth="1"/>
    <col min="2327" max="2569" width="10.140625" style="40"/>
    <col min="2570" max="2582" width="14" style="40" customWidth="1"/>
    <col min="2583" max="2825" width="10.140625" style="40"/>
    <col min="2826" max="2838" width="14" style="40" customWidth="1"/>
    <col min="2839" max="3081" width="10.140625" style="40"/>
    <col min="3082" max="3094" width="14" style="40" customWidth="1"/>
    <col min="3095" max="3337" width="10.140625" style="40"/>
    <col min="3338" max="3350" width="14" style="40" customWidth="1"/>
    <col min="3351" max="3593" width="10.140625" style="40"/>
    <col min="3594" max="3606" width="14" style="40" customWidth="1"/>
    <col min="3607" max="3849" width="10.140625" style="40"/>
    <col min="3850" max="3862" width="14" style="40" customWidth="1"/>
    <col min="3863" max="4105" width="10.140625" style="40"/>
    <col min="4106" max="4118" width="14" style="40" customWidth="1"/>
    <col min="4119" max="4361" width="10.140625" style="40"/>
    <col min="4362" max="4374" width="14" style="40" customWidth="1"/>
    <col min="4375" max="4617" width="10.140625" style="40"/>
    <col min="4618" max="4630" width="14" style="40" customWidth="1"/>
    <col min="4631" max="4873" width="10.140625" style="40"/>
    <col min="4874" max="4886" width="14" style="40" customWidth="1"/>
    <col min="4887" max="5129" width="10.140625" style="40"/>
    <col min="5130" max="5142" width="14" style="40" customWidth="1"/>
    <col min="5143" max="5385" width="10.140625" style="40"/>
    <col min="5386" max="5398" width="14" style="40" customWidth="1"/>
    <col min="5399" max="5641" width="10.140625" style="40"/>
    <col min="5642" max="5654" width="14" style="40" customWidth="1"/>
    <col min="5655" max="5897" width="10.140625" style="40"/>
    <col min="5898" max="5910" width="14" style="40" customWidth="1"/>
    <col min="5911" max="6153" width="10.140625" style="40"/>
    <col min="6154" max="6166" width="14" style="40" customWidth="1"/>
    <col min="6167" max="6409" width="10.140625" style="40"/>
    <col min="6410" max="6422" width="14" style="40" customWidth="1"/>
    <col min="6423" max="6665" width="10.140625" style="40"/>
    <col min="6666" max="6678" width="14" style="40" customWidth="1"/>
    <col min="6679" max="6921" width="10.140625" style="40"/>
    <col min="6922" max="6934" width="14" style="40" customWidth="1"/>
    <col min="6935" max="7177" width="10.140625" style="40"/>
    <col min="7178" max="7190" width="14" style="40" customWidth="1"/>
    <col min="7191" max="7433" width="10.140625" style="40"/>
    <col min="7434" max="7446" width="14" style="40" customWidth="1"/>
    <col min="7447" max="7689" width="10.140625" style="40"/>
    <col min="7690" max="7702" width="14" style="40" customWidth="1"/>
    <col min="7703" max="7945" width="10.140625" style="40"/>
    <col min="7946" max="7958" width="14" style="40" customWidth="1"/>
    <col min="7959" max="8201" width="10.140625" style="40"/>
    <col min="8202" max="8214" width="14" style="40" customWidth="1"/>
    <col min="8215" max="8457" width="10.140625" style="40"/>
    <col min="8458" max="8470" width="14" style="40" customWidth="1"/>
    <col min="8471" max="8713" width="10.140625" style="40"/>
    <col min="8714" max="8726" width="14" style="40" customWidth="1"/>
    <col min="8727" max="8969" width="10.140625" style="40"/>
    <col min="8970" max="8982" width="14" style="40" customWidth="1"/>
    <col min="8983" max="9225" width="10.140625" style="40"/>
    <col min="9226" max="9238" width="14" style="40" customWidth="1"/>
    <col min="9239" max="9481" width="10.140625" style="40"/>
    <col min="9482" max="9494" width="14" style="40" customWidth="1"/>
    <col min="9495" max="9737" width="10.140625" style="40"/>
    <col min="9738" max="9750" width="14" style="40" customWidth="1"/>
    <col min="9751" max="9993" width="10.140625" style="40"/>
    <col min="9994" max="10006" width="14" style="40" customWidth="1"/>
    <col min="10007" max="10249" width="10.140625" style="40"/>
    <col min="10250" max="10262" width="14" style="40" customWidth="1"/>
    <col min="10263" max="10505" width="10.140625" style="40"/>
    <col min="10506" max="10518" width="14" style="40" customWidth="1"/>
    <col min="10519" max="10761" width="10.140625" style="40"/>
    <col min="10762" max="10774" width="14" style="40" customWidth="1"/>
    <col min="10775" max="11017" width="10.140625" style="40"/>
    <col min="11018" max="11030" width="14" style="40" customWidth="1"/>
    <col min="11031" max="11273" width="10.140625" style="40"/>
    <col min="11274" max="11286" width="14" style="40" customWidth="1"/>
    <col min="11287" max="11529" width="10.140625" style="40"/>
    <col min="11530" max="11542" width="14" style="40" customWidth="1"/>
    <col min="11543" max="11785" width="10.140625" style="40"/>
    <col min="11786" max="11798" width="14" style="40" customWidth="1"/>
    <col min="11799" max="12041" width="10.140625" style="40"/>
    <col min="12042" max="12054" width="14" style="40" customWidth="1"/>
    <col min="12055" max="12297" width="10.140625" style="40"/>
    <col min="12298" max="12310" width="14" style="40" customWidth="1"/>
    <col min="12311" max="12553" width="10.140625" style="40"/>
    <col min="12554" max="12566" width="14" style="40" customWidth="1"/>
    <col min="12567" max="12809" width="10.140625" style="40"/>
    <col min="12810" max="12822" width="14" style="40" customWidth="1"/>
    <col min="12823" max="13065" width="10.140625" style="40"/>
    <col min="13066" max="13078" width="14" style="40" customWidth="1"/>
    <col min="13079" max="13321" width="10.140625" style="40"/>
    <col min="13322" max="13334" width="14" style="40" customWidth="1"/>
    <col min="13335" max="13577" width="10.140625" style="40"/>
    <col min="13578" max="13590" width="14" style="40" customWidth="1"/>
    <col min="13591" max="13833" width="10.140625" style="40"/>
    <col min="13834" max="13846" width="14" style="40" customWidth="1"/>
    <col min="13847" max="14089" width="10.140625" style="40"/>
    <col min="14090" max="14102" width="14" style="40" customWidth="1"/>
    <col min="14103" max="14345" width="10.140625" style="40"/>
    <col min="14346" max="14358" width="14" style="40" customWidth="1"/>
    <col min="14359" max="14601" width="10.140625" style="40"/>
    <col min="14602" max="14614" width="14" style="40" customWidth="1"/>
    <col min="14615" max="14857" width="10.140625" style="40"/>
    <col min="14858" max="14870" width="14" style="40" customWidth="1"/>
    <col min="14871" max="15113" width="10.140625" style="40"/>
    <col min="15114" max="15126" width="14" style="40" customWidth="1"/>
    <col min="15127" max="15369" width="10.140625" style="40"/>
    <col min="15370" max="15382" width="14" style="40" customWidth="1"/>
    <col min="15383" max="15625" width="10.140625" style="40"/>
    <col min="15626" max="15638" width="14" style="40" customWidth="1"/>
    <col min="15639" max="15881" width="10.140625" style="40"/>
    <col min="15882" max="15894" width="14" style="40" customWidth="1"/>
    <col min="15895" max="16137" width="10.140625" style="40"/>
    <col min="16138" max="16150" width="14" style="40" customWidth="1"/>
    <col min="16151" max="16384" width="10.140625" style="40"/>
  </cols>
  <sheetData>
    <row r="1" spans="2:25" ht="4.5" customHeight="1" x14ac:dyDescent="0.25"/>
    <row r="2" spans="2:25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52"/>
      <c r="U2" s="40"/>
      <c r="V2" s="453" t="s">
        <v>11</v>
      </c>
      <c r="W2" s="453"/>
      <c r="X2" s="453"/>
      <c r="Y2" s="453"/>
    </row>
    <row r="3" spans="2:25" ht="15" customHeight="1" x14ac:dyDescent="0.25">
      <c r="B3" s="45" t="str">
        <f ca="1">MID(CELL("filename",A8),FIND("]",CELL("filename",A8))+1,LEN(CELL("filename",A8))-FIND("]",CELL("filename",A8)))</f>
        <v>05 MŠ Svojsíkova 352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56"/>
      <c r="U3" s="40"/>
      <c r="V3" s="457" t="s">
        <v>3</v>
      </c>
      <c r="W3" s="457"/>
      <c r="X3" s="457"/>
      <c r="Y3" s="457"/>
    </row>
    <row r="4" spans="2:25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157</v>
      </c>
      <c r="P4" s="36" t="s">
        <v>8</v>
      </c>
      <c r="Q4" s="48"/>
      <c r="R4" s="327" t="s">
        <v>14</v>
      </c>
      <c r="S4" s="359" t="s">
        <v>158</v>
      </c>
      <c r="T4" s="37" t="s">
        <v>8</v>
      </c>
      <c r="U4" s="40"/>
      <c r="V4" s="38" t="s">
        <v>2</v>
      </c>
      <c r="W4" s="38" t="s">
        <v>14</v>
      </c>
      <c r="X4" s="39" t="s">
        <v>8</v>
      </c>
      <c r="Y4" s="413" t="s">
        <v>222</v>
      </c>
    </row>
    <row r="5" spans="2:25" ht="4.5" customHeight="1" x14ac:dyDescent="0.25">
      <c r="D5" s="63"/>
      <c r="E5" s="79"/>
      <c r="F5" s="41"/>
      <c r="G5" s="41"/>
    </row>
    <row r="6" spans="2:25" x14ac:dyDescent="0.25">
      <c r="B6" s="41"/>
      <c r="C6" s="41"/>
      <c r="D6" s="49" t="s">
        <v>19</v>
      </c>
      <c r="E6" s="68"/>
      <c r="F6" s="337"/>
      <c r="G6" s="339"/>
      <c r="H6" s="340"/>
      <c r="I6" s="340"/>
      <c r="J6" s="340"/>
      <c r="K6" s="340"/>
      <c r="L6" s="338"/>
      <c r="M6" s="50"/>
      <c r="N6" s="433">
        <f>+O6</f>
        <v>5902</v>
      </c>
      <c r="O6" s="431">
        <f>(4566+1336)</f>
        <v>5902</v>
      </c>
      <c r="P6" s="429">
        <v>19876.77</v>
      </c>
      <c r="Q6" s="69"/>
      <c r="R6" s="433">
        <f>+S6</f>
        <v>437</v>
      </c>
      <c r="S6" s="431">
        <f>9+428</f>
        <v>437</v>
      </c>
      <c r="T6" s="429">
        <f>(370.35+353.25)+(17612.2+16799)</f>
        <v>35134.799999999996</v>
      </c>
      <c r="U6" s="70"/>
      <c r="V6" s="337">
        <v>26331.3</v>
      </c>
      <c r="W6" s="339">
        <f t="shared" ref="W6:W11" si="0">+V6/10.6241</f>
        <v>2478.4499392889747</v>
      </c>
      <c r="X6" s="429">
        <v>78619.08</v>
      </c>
      <c r="Y6" s="414">
        <f>V6*X6/SUM(V6:V11)</f>
        <v>23989.448396618627</v>
      </c>
    </row>
    <row r="7" spans="2:25" x14ac:dyDescent="0.25">
      <c r="B7" s="41"/>
      <c r="C7" s="41"/>
      <c r="D7" s="49" t="s">
        <v>20</v>
      </c>
      <c r="E7" s="68"/>
      <c r="F7" s="71"/>
      <c r="G7" s="72"/>
      <c r="H7" s="322"/>
      <c r="I7" s="322"/>
      <c r="J7" s="322"/>
      <c r="K7" s="322"/>
      <c r="L7" s="320"/>
      <c r="M7" s="50"/>
      <c r="N7" s="433"/>
      <c r="O7" s="431"/>
      <c r="P7" s="429"/>
      <c r="Q7" s="69"/>
      <c r="R7" s="433"/>
      <c r="S7" s="431"/>
      <c r="T7" s="429"/>
      <c r="U7" s="69"/>
      <c r="V7" s="71">
        <v>22210.35</v>
      </c>
      <c r="W7" s="72">
        <f t="shared" si="0"/>
        <v>2090.5629653335341</v>
      </c>
      <c r="X7" s="429"/>
      <c r="Y7" s="414">
        <f>V7*X6/SUM(V6:V11)</f>
        <v>20235.00720419571</v>
      </c>
    </row>
    <row r="8" spans="2:25" x14ac:dyDescent="0.25">
      <c r="B8" s="41"/>
      <c r="C8" s="41"/>
      <c r="D8" s="49" t="s">
        <v>21</v>
      </c>
      <c r="E8" s="68"/>
      <c r="F8" s="71"/>
      <c r="G8" s="72"/>
      <c r="H8" s="322"/>
      <c r="I8" s="322"/>
      <c r="J8" s="322"/>
      <c r="K8" s="322"/>
      <c r="L8" s="320"/>
      <c r="M8" s="50"/>
      <c r="N8" s="433"/>
      <c r="O8" s="431"/>
      <c r="P8" s="429"/>
      <c r="Q8" s="69"/>
      <c r="R8" s="433"/>
      <c r="S8" s="431"/>
      <c r="T8" s="429"/>
      <c r="U8" s="69"/>
      <c r="V8" s="71">
        <v>17168.86</v>
      </c>
      <c r="W8" s="72">
        <f t="shared" si="0"/>
        <v>1616.0295930949446</v>
      </c>
      <c r="X8" s="429"/>
      <c r="Y8" s="414">
        <f>V8*X6/SUM(V6:V11)</f>
        <v>15641.896943894519</v>
      </c>
    </row>
    <row r="9" spans="2:25" x14ac:dyDescent="0.25">
      <c r="B9" s="41"/>
      <c r="C9" s="41"/>
      <c r="D9" s="49" t="s">
        <v>22</v>
      </c>
      <c r="E9" s="68"/>
      <c r="F9" s="71"/>
      <c r="G9" s="72"/>
      <c r="H9" s="322"/>
      <c r="I9" s="322"/>
      <c r="J9" s="322"/>
      <c r="K9" s="322"/>
      <c r="L9" s="320"/>
      <c r="M9" s="50"/>
      <c r="N9" s="434"/>
      <c r="O9" s="432"/>
      <c r="P9" s="435"/>
      <c r="Q9" s="69"/>
      <c r="R9" s="433"/>
      <c r="S9" s="431"/>
      <c r="T9" s="429"/>
      <c r="U9" s="69"/>
      <c r="V9" s="71">
        <v>10371.959999999999</v>
      </c>
      <c r="W9" s="72">
        <f t="shared" si="0"/>
        <v>976.26716615995701</v>
      </c>
      <c r="X9" s="429"/>
      <c r="Y9" s="414">
        <f>V9*X6/SUM(V6:V11)</f>
        <v>9449.4992344393377</v>
      </c>
    </row>
    <row r="10" spans="2:25" x14ac:dyDescent="0.25">
      <c r="B10" s="41"/>
      <c r="C10" s="41"/>
      <c r="D10" s="49" t="s">
        <v>23</v>
      </c>
      <c r="E10" s="68"/>
      <c r="F10" s="71"/>
      <c r="G10" s="72"/>
      <c r="H10" s="322"/>
      <c r="I10" s="322"/>
      <c r="J10" s="322"/>
      <c r="K10" s="322"/>
      <c r="L10" s="320"/>
      <c r="M10" s="50"/>
      <c r="N10" s="433">
        <f>+O10</f>
        <v>10975</v>
      </c>
      <c r="O10" s="431">
        <f>+(8392+2583)</f>
        <v>10975</v>
      </c>
      <c r="P10" s="429">
        <f>(16671.83+2242.93+154.15+1308.77+5432.63+82.86)+(10389.3+2820.64+310.59)</f>
        <v>39413.700000000004</v>
      </c>
      <c r="Q10" s="69"/>
      <c r="R10" s="433"/>
      <c r="S10" s="431"/>
      <c r="T10" s="429"/>
      <c r="U10" s="69"/>
      <c r="V10" s="71">
        <v>7299.98</v>
      </c>
      <c r="W10" s="72">
        <f t="shared" si="0"/>
        <v>687.11514387101022</v>
      </c>
      <c r="X10" s="429"/>
      <c r="Y10" s="414">
        <f>V10*X6/SUM(V6:V11)</f>
        <v>6650.7348101441266</v>
      </c>
    </row>
    <row r="11" spans="2:25" x14ac:dyDescent="0.25">
      <c r="B11" s="41"/>
      <c r="C11" s="41"/>
      <c r="D11" s="49" t="s">
        <v>24</v>
      </c>
      <c r="E11" s="68"/>
      <c r="F11" s="71"/>
      <c r="G11" s="72"/>
      <c r="H11" s="322"/>
      <c r="I11" s="322"/>
      <c r="J11" s="322"/>
      <c r="K11" s="322"/>
      <c r="L11" s="320"/>
      <c r="M11" s="50"/>
      <c r="N11" s="433"/>
      <c r="O11" s="431"/>
      <c r="P11" s="429"/>
      <c r="Q11" s="69"/>
      <c r="R11" s="433"/>
      <c r="S11" s="431"/>
      <c r="T11" s="429"/>
      <c r="U11" s="69"/>
      <c r="V11" s="71">
        <v>2911.43</v>
      </c>
      <c r="W11" s="72">
        <f t="shared" si="0"/>
        <v>274.04015398951441</v>
      </c>
      <c r="X11" s="435"/>
      <c r="Y11" s="414">
        <f>V11*X6/SUM(V6:V11)</f>
        <v>2652.4934107076888</v>
      </c>
    </row>
    <row r="12" spans="2:25" x14ac:dyDescent="0.25">
      <c r="B12" s="41"/>
      <c r="C12" s="41"/>
      <c r="D12" s="49" t="s">
        <v>25</v>
      </c>
      <c r="E12" s="68"/>
      <c r="F12" s="71"/>
      <c r="G12" s="72"/>
      <c r="H12" s="322"/>
      <c r="I12" s="322"/>
      <c r="J12" s="322"/>
      <c r="K12" s="322"/>
      <c r="L12" s="320"/>
      <c r="M12" s="50"/>
      <c r="N12" s="433"/>
      <c r="O12" s="431"/>
      <c r="P12" s="429"/>
      <c r="Q12" s="69"/>
      <c r="R12" s="433"/>
      <c r="S12" s="431"/>
      <c r="T12" s="429"/>
      <c r="U12" s="69"/>
      <c r="V12" s="71">
        <f>1895.13+1485.94</f>
        <v>3381.07</v>
      </c>
      <c r="W12" s="72">
        <f>1895.13/10.623+1485.94/10.6138</f>
        <v>318.39951114886276</v>
      </c>
      <c r="X12" s="465">
        <f>1850.25+45878.47</f>
        <v>47728.72</v>
      </c>
      <c r="Y12" s="415">
        <f>V12*X12/SUM(V12:V17)</f>
        <v>3181.1619672035495</v>
      </c>
    </row>
    <row r="13" spans="2:25" x14ac:dyDescent="0.25">
      <c r="B13" s="41"/>
      <c r="C13" s="41"/>
      <c r="D13" s="49" t="s">
        <v>26</v>
      </c>
      <c r="E13" s="68"/>
      <c r="F13" s="71"/>
      <c r="G13" s="72"/>
      <c r="H13" s="322"/>
      <c r="I13" s="322"/>
      <c r="J13" s="322"/>
      <c r="K13" s="322"/>
      <c r="L13" s="320"/>
      <c r="M13" s="50"/>
      <c r="N13" s="433"/>
      <c r="O13" s="431"/>
      <c r="P13" s="429"/>
      <c r="Q13" s="69"/>
      <c r="R13" s="433"/>
      <c r="S13" s="431"/>
      <c r="T13" s="429"/>
      <c r="U13" s="69"/>
      <c r="V13" s="71">
        <v>3057.4</v>
      </c>
      <c r="W13" s="72">
        <f t="shared" ref="W13:W17" si="1">+V13/10.6138</f>
        <v>288.05894213194148</v>
      </c>
      <c r="X13" s="466"/>
      <c r="Y13" s="415">
        <f>V13*X12/SUM(V12:V17)</f>
        <v>2876.6291731694791</v>
      </c>
    </row>
    <row r="14" spans="2:25" x14ac:dyDescent="0.25">
      <c r="B14" s="41"/>
      <c r="C14" s="41"/>
      <c r="D14" s="49" t="s">
        <v>27</v>
      </c>
      <c r="E14" s="68"/>
      <c r="F14" s="71"/>
      <c r="G14" s="72"/>
      <c r="H14" s="322"/>
      <c r="I14" s="322"/>
      <c r="J14" s="322"/>
      <c r="K14" s="322"/>
      <c r="L14" s="320"/>
      <c r="M14" s="50"/>
      <c r="N14" s="433"/>
      <c r="O14" s="431"/>
      <c r="P14" s="429"/>
      <c r="Q14" s="69"/>
      <c r="R14" s="433"/>
      <c r="S14" s="431"/>
      <c r="T14" s="429"/>
      <c r="U14" s="69"/>
      <c r="V14" s="71">
        <v>4094.35</v>
      </c>
      <c r="W14" s="72">
        <f t="shared" si="1"/>
        <v>385.75722173020034</v>
      </c>
      <c r="X14" s="466"/>
      <c r="Y14" s="415">
        <f>V14*X12/SUM(V12:V17)</f>
        <v>3852.2688085191521</v>
      </c>
    </row>
    <row r="15" spans="2:25" x14ac:dyDescent="0.25">
      <c r="B15" s="41"/>
      <c r="C15" s="41"/>
      <c r="D15" s="49" t="s">
        <v>28</v>
      </c>
      <c r="E15" s="68"/>
      <c r="F15" s="71"/>
      <c r="G15" s="72"/>
      <c r="H15" s="322"/>
      <c r="I15" s="322"/>
      <c r="J15" s="322"/>
      <c r="K15" s="322"/>
      <c r="L15" s="320"/>
      <c r="M15" s="50"/>
      <c r="N15" s="433"/>
      <c r="O15" s="431"/>
      <c r="P15" s="429"/>
      <c r="Q15" s="69"/>
      <c r="R15" s="433"/>
      <c r="S15" s="431"/>
      <c r="T15" s="429"/>
      <c r="U15" s="69"/>
      <c r="V15" s="71">
        <v>9503.61</v>
      </c>
      <c r="W15" s="72">
        <f t="shared" si="1"/>
        <v>895.40127004465899</v>
      </c>
      <c r="X15" s="466"/>
      <c r="Y15" s="415">
        <f>V15*X12/SUM(V12:V17)</f>
        <v>8941.7026808481696</v>
      </c>
    </row>
    <row r="16" spans="2:25" x14ac:dyDescent="0.25">
      <c r="B16" s="41"/>
      <c r="C16" s="41"/>
      <c r="D16" s="49" t="s">
        <v>29</v>
      </c>
      <c r="E16" s="68"/>
      <c r="F16" s="71"/>
      <c r="G16" s="72"/>
      <c r="H16" s="322"/>
      <c r="I16" s="322"/>
      <c r="J16" s="322"/>
      <c r="K16" s="322"/>
      <c r="L16" s="320"/>
      <c r="M16" s="50"/>
      <c r="N16" s="433"/>
      <c r="O16" s="431"/>
      <c r="P16" s="429"/>
      <c r="Q16" s="69"/>
      <c r="R16" s="433"/>
      <c r="S16" s="431"/>
      <c r="T16" s="429"/>
      <c r="U16" s="69"/>
      <c r="V16" s="71">
        <v>16323.97</v>
      </c>
      <c r="W16" s="72">
        <f t="shared" si="1"/>
        <v>1537.9948745972224</v>
      </c>
      <c r="X16" s="466"/>
      <c r="Y16" s="415">
        <f>V16*X12/SUM(V12:V17)</f>
        <v>15358.804318683646</v>
      </c>
    </row>
    <row r="17" spans="2:25" x14ac:dyDescent="0.25">
      <c r="B17" s="41"/>
      <c r="C17" s="41"/>
      <c r="D17" s="49" t="s">
        <v>30</v>
      </c>
      <c r="E17" s="68"/>
      <c r="F17" s="73"/>
      <c r="G17" s="74"/>
      <c r="H17" s="323"/>
      <c r="I17" s="323"/>
      <c r="J17" s="323"/>
      <c r="K17" s="323"/>
      <c r="L17" s="321"/>
      <c r="M17" s="50"/>
      <c r="N17" s="447"/>
      <c r="O17" s="445"/>
      <c r="P17" s="430"/>
      <c r="Q17" s="50"/>
      <c r="R17" s="447"/>
      <c r="S17" s="445"/>
      <c r="T17" s="430"/>
      <c r="U17" s="69"/>
      <c r="V17" s="73">
        <v>14367.65</v>
      </c>
      <c r="W17" s="74">
        <f t="shared" si="1"/>
        <v>1353.676345889314</v>
      </c>
      <c r="X17" s="467"/>
      <c r="Y17" s="416">
        <f>V17*X12/SUM(V12:V17)</f>
        <v>13518.153051576001</v>
      </c>
    </row>
    <row r="18" spans="2:25" x14ac:dyDescent="0.25">
      <c r="B18" s="52"/>
      <c r="C18" s="52"/>
      <c r="D18" s="53"/>
      <c r="E18" s="75"/>
      <c r="F18" s="54">
        <f>SUM(F6:F17)</f>
        <v>0</v>
      </c>
      <c r="G18" s="54">
        <f t="shared" ref="G18:L18" si="2">SUM(G6:G17)</f>
        <v>0</v>
      </c>
      <c r="H18" s="54">
        <f t="shared" si="2"/>
        <v>0</v>
      </c>
      <c r="I18" s="54">
        <f t="shared" si="2"/>
        <v>0</v>
      </c>
      <c r="J18" s="54">
        <f t="shared" si="2"/>
        <v>0</v>
      </c>
      <c r="K18" s="54">
        <f t="shared" si="2"/>
        <v>0</v>
      </c>
      <c r="L18" s="54">
        <f t="shared" si="2"/>
        <v>0</v>
      </c>
      <c r="M18" s="65"/>
      <c r="N18" s="54">
        <f t="shared" ref="N18:P18" si="3">SUM(N6:N17)</f>
        <v>16877</v>
      </c>
      <c r="O18" s="54"/>
      <c r="P18" s="54">
        <f t="shared" si="3"/>
        <v>59290.47</v>
      </c>
      <c r="Q18" s="76"/>
      <c r="R18" s="54">
        <f>SUM(R6:R17)</f>
        <v>437</v>
      </c>
      <c r="S18" s="54"/>
      <c r="T18" s="54">
        <f>SUM(T6:T17)</f>
        <v>35134.799999999996</v>
      </c>
      <c r="U18" s="40"/>
      <c r="V18" s="54">
        <f t="shared" ref="V18:X18" si="4">SUM(V6:V17)</f>
        <v>137021.93</v>
      </c>
      <c r="W18" s="54">
        <f t="shared" si="4"/>
        <v>12901.753127280135</v>
      </c>
      <c r="X18" s="54">
        <f t="shared" si="4"/>
        <v>126347.8</v>
      </c>
      <c r="Y18" s="91"/>
    </row>
    <row r="19" spans="2:25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71741.468699999998</v>
      </c>
      <c r="Q19" s="77"/>
      <c r="R19" s="59">
        <v>0.15</v>
      </c>
      <c r="S19" s="59"/>
      <c r="T19" s="60">
        <f>T18*(1+R19)</f>
        <v>40405.01999999999</v>
      </c>
      <c r="U19" s="77"/>
      <c r="V19" s="59">
        <v>0.21</v>
      </c>
      <c r="W19" s="51"/>
      <c r="X19" s="60">
        <f>X18*(1+V19)</f>
        <v>152880.83799999999</v>
      </c>
      <c r="Y19" s="417"/>
    </row>
    <row r="20" spans="2:25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80"/>
      <c r="X20" s="78"/>
    </row>
    <row r="21" spans="2:25" x14ac:dyDescent="0.25">
      <c r="D21" s="49" t="s">
        <v>19</v>
      </c>
      <c r="E21" s="68"/>
      <c r="F21" s="337"/>
      <c r="G21" s="339"/>
      <c r="H21" s="340"/>
      <c r="I21" s="340"/>
      <c r="J21" s="340"/>
      <c r="K21" s="340"/>
      <c r="L21" s="338"/>
      <c r="M21" s="50"/>
      <c r="N21" s="433">
        <f>+O21</f>
        <v>5971</v>
      </c>
      <c r="O21" s="431">
        <f>(4211+1760)</f>
        <v>5971</v>
      </c>
      <c r="P21" s="429">
        <f>(7559.33+1114.82+105+628.57+2955.65+41.44)+(5116.37+1884.96+168.98)</f>
        <v>19575.12</v>
      </c>
      <c r="Q21" s="69"/>
      <c r="R21" s="433">
        <f>+S21</f>
        <v>520</v>
      </c>
      <c r="S21" s="431">
        <f>11+509</f>
        <v>520</v>
      </c>
      <c r="T21" s="429">
        <f>(470.58+447.92)+(21775.02+20726.48)</f>
        <v>43420</v>
      </c>
      <c r="U21" s="70"/>
      <c r="V21" s="337">
        <v>29843.95</v>
      </c>
      <c r="W21" s="339">
        <f t="shared" ref="W21:W26" si="5">+V21/10.6207</f>
        <v>2809.9795682017193</v>
      </c>
      <c r="X21" s="429">
        <v>94376.01</v>
      </c>
      <c r="Y21" s="414">
        <f>V21*X21/SUM(V21:V26)</f>
        <v>26960.44067493068</v>
      </c>
    </row>
    <row r="22" spans="2:25" x14ac:dyDescent="0.25">
      <c r="D22" s="49" t="s">
        <v>20</v>
      </c>
      <c r="E22" s="68"/>
      <c r="F22" s="71"/>
      <c r="G22" s="72"/>
      <c r="H22" s="322"/>
      <c r="I22" s="322"/>
      <c r="J22" s="322"/>
      <c r="K22" s="322"/>
      <c r="L22" s="320"/>
      <c r="M22" s="50"/>
      <c r="N22" s="433"/>
      <c r="O22" s="431"/>
      <c r="P22" s="429"/>
      <c r="Q22" s="69"/>
      <c r="R22" s="433"/>
      <c r="S22" s="431"/>
      <c r="T22" s="429"/>
      <c r="U22" s="69"/>
      <c r="V22" s="71">
        <v>28817.42</v>
      </c>
      <c r="W22" s="72">
        <f t="shared" si="5"/>
        <v>2713.3258636436394</v>
      </c>
      <c r="X22" s="429"/>
      <c r="Y22" s="414">
        <f>V22*X21/SUM(V21:V26)</f>
        <v>26033.093552112263</v>
      </c>
    </row>
    <row r="23" spans="2:25" x14ac:dyDescent="0.25">
      <c r="D23" s="49" t="s">
        <v>21</v>
      </c>
      <c r="E23" s="68"/>
      <c r="F23" s="71"/>
      <c r="G23" s="72"/>
      <c r="H23" s="322"/>
      <c r="I23" s="322"/>
      <c r="J23" s="322"/>
      <c r="K23" s="322"/>
      <c r="L23" s="320"/>
      <c r="M23" s="50"/>
      <c r="N23" s="433"/>
      <c r="O23" s="431"/>
      <c r="P23" s="429"/>
      <c r="Q23" s="69"/>
      <c r="R23" s="433"/>
      <c r="S23" s="431"/>
      <c r="T23" s="429"/>
      <c r="U23" s="69"/>
      <c r="V23" s="71">
        <v>23887.98</v>
      </c>
      <c r="W23" s="72">
        <f t="shared" si="5"/>
        <v>2249.1907313077295</v>
      </c>
      <c r="X23" s="429"/>
      <c r="Y23" s="414">
        <f>V23*X21/SUM(V21:V26)</f>
        <v>21579.93387718216</v>
      </c>
    </row>
    <row r="24" spans="2:25" x14ac:dyDescent="0.25">
      <c r="D24" s="49" t="s">
        <v>22</v>
      </c>
      <c r="E24" s="68"/>
      <c r="F24" s="71"/>
      <c r="G24" s="72"/>
      <c r="H24" s="322"/>
      <c r="I24" s="322"/>
      <c r="J24" s="322"/>
      <c r="K24" s="322"/>
      <c r="L24" s="320"/>
      <c r="M24" s="50"/>
      <c r="N24" s="434"/>
      <c r="O24" s="432"/>
      <c r="P24" s="435"/>
      <c r="Q24" s="69"/>
      <c r="R24" s="433"/>
      <c r="S24" s="431"/>
      <c r="T24" s="429"/>
      <c r="U24" s="69"/>
      <c r="V24" s="71">
        <v>14520.99</v>
      </c>
      <c r="W24" s="72">
        <f t="shared" si="5"/>
        <v>1367.2347397064225</v>
      </c>
      <c r="X24" s="429"/>
      <c r="Y24" s="414">
        <f>V24*X21/SUM(V21:V26)</f>
        <v>13117.978331831464</v>
      </c>
    </row>
    <row r="25" spans="2:25" x14ac:dyDescent="0.25">
      <c r="D25" s="49" t="s">
        <v>23</v>
      </c>
      <c r="E25" s="68"/>
      <c r="F25" s="71"/>
      <c r="G25" s="72"/>
      <c r="H25" s="322"/>
      <c r="I25" s="322"/>
      <c r="J25" s="322"/>
      <c r="K25" s="322"/>
      <c r="L25" s="320"/>
      <c r="M25" s="50"/>
      <c r="N25" s="433">
        <f>+O25</f>
        <v>11297</v>
      </c>
      <c r="O25" s="431">
        <f>+(8552+2745)</f>
        <v>11297</v>
      </c>
      <c r="P25" s="429">
        <f>(16740.68+2264.06+163.77+1189.24+5592.02+78.4)+(10390.68+2939.9+319.71)</f>
        <v>39678.460000000006</v>
      </c>
      <c r="Q25" s="69"/>
      <c r="R25" s="433"/>
      <c r="S25" s="431"/>
      <c r="T25" s="429"/>
      <c r="U25" s="69"/>
      <c r="V25" s="71">
        <v>5389.23</v>
      </c>
      <c r="W25" s="72">
        <f t="shared" si="5"/>
        <v>507.42700575291644</v>
      </c>
      <c r="X25" s="429"/>
      <c r="Y25" s="414">
        <f>V25*X21/SUM(V21:V26)</f>
        <v>4868.524967323583</v>
      </c>
    </row>
    <row r="26" spans="2:25" x14ac:dyDescent="0.25">
      <c r="D26" s="49" t="s">
        <v>24</v>
      </c>
      <c r="E26" s="68"/>
      <c r="F26" s="71"/>
      <c r="G26" s="72"/>
      <c r="H26" s="322"/>
      <c r="I26" s="322"/>
      <c r="J26" s="322"/>
      <c r="K26" s="322"/>
      <c r="L26" s="320"/>
      <c r="M26" s="50"/>
      <c r="N26" s="433"/>
      <c r="O26" s="431"/>
      <c r="P26" s="429"/>
      <c r="Q26" s="69"/>
      <c r="R26" s="433"/>
      <c r="S26" s="431"/>
      <c r="T26" s="429"/>
      <c r="U26" s="69"/>
      <c r="V26" s="71">
        <v>2010.27</v>
      </c>
      <c r="W26" s="72">
        <f t="shared" si="5"/>
        <v>189.27848446900865</v>
      </c>
      <c r="X26" s="435"/>
      <c r="Y26" s="414">
        <f>V26*X21/SUM(V21:V26)</f>
        <v>1816.0385966198473</v>
      </c>
    </row>
    <row r="27" spans="2:25" x14ac:dyDescent="0.25">
      <c r="D27" s="49" t="s">
        <v>25</v>
      </c>
      <c r="E27" s="68"/>
      <c r="F27" s="71"/>
      <c r="G27" s="72"/>
      <c r="H27" s="322"/>
      <c r="I27" s="322"/>
      <c r="J27" s="322"/>
      <c r="K27" s="322"/>
      <c r="L27" s="320"/>
      <c r="M27" s="50"/>
      <c r="N27" s="433"/>
      <c r="O27" s="431"/>
      <c r="P27" s="429"/>
      <c r="Q27" s="69"/>
      <c r="R27" s="433"/>
      <c r="S27" s="431"/>
      <c r="T27" s="429"/>
      <c r="U27" s="69"/>
      <c r="V27" s="71">
        <f>224.55+719.95</f>
        <v>944.5</v>
      </c>
      <c r="W27" s="72">
        <f>224.55/10.6207+719.95/10.6761</f>
        <v>88.578348287420241</v>
      </c>
      <c r="X27" s="428">
        <f>1834.77+6918.76+6671.04+129.51+41132.48</f>
        <v>56686.560000000005</v>
      </c>
      <c r="Y27" s="415">
        <f>V27*X27/SUM(V27:V32)</f>
        <v>889.60657791501524</v>
      </c>
    </row>
    <row r="28" spans="2:25" x14ac:dyDescent="0.25">
      <c r="D28" s="49" t="s">
        <v>26</v>
      </c>
      <c r="E28" s="68"/>
      <c r="F28" s="71"/>
      <c r="G28" s="72"/>
      <c r="H28" s="322"/>
      <c r="I28" s="322"/>
      <c r="J28" s="322"/>
      <c r="K28" s="322"/>
      <c r="L28" s="320"/>
      <c r="M28" s="50"/>
      <c r="N28" s="433"/>
      <c r="O28" s="431"/>
      <c r="P28" s="429"/>
      <c r="Q28" s="69"/>
      <c r="R28" s="433"/>
      <c r="S28" s="431"/>
      <c r="T28" s="429"/>
      <c r="U28" s="69"/>
      <c r="V28" s="71">
        <v>977.84</v>
      </c>
      <c r="W28" s="72">
        <f t="shared" ref="W28:W32" si="6">+V28/10.6761</f>
        <v>91.591498768276807</v>
      </c>
      <c r="X28" s="429"/>
      <c r="Y28" s="415">
        <f>V28*X27/SUM(V27:V32)</f>
        <v>921.00888951658931</v>
      </c>
    </row>
    <row r="29" spans="2:25" x14ac:dyDescent="0.25">
      <c r="D29" s="49" t="s">
        <v>27</v>
      </c>
      <c r="E29" s="68"/>
      <c r="F29" s="71"/>
      <c r="G29" s="72"/>
      <c r="H29" s="322"/>
      <c r="I29" s="322"/>
      <c r="J29" s="322"/>
      <c r="K29" s="322"/>
      <c r="L29" s="320"/>
      <c r="M29" s="50"/>
      <c r="N29" s="433"/>
      <c r="O29" s="431"/>
      <c r="P29" s="429"/>
      <c r="Q29" s="69"/>
      <c r="R29" s="433"/>
      <c r="S29" s="431"/>
      <c r="T29" s="429"/>
      <c r="U29" s="69"/>
      <c r="V29" s="71">
        <v>3717.94</v>
      </c>
      <c r="W29" s="72">
        <f t="shared" si="6"/>
        <v>348.2488923857963</v>
      </c>
      <c r="X29" s="429"/>
      <c r="Y29" s="415">
        <f>V29*X27/SUM(V27:V32)</f>
        <v>3501.8569404905793</v>
      </c>
    </row>
    <row r="30" spans="2:25" x14ac:dyDescent="0.25">
      <c r="D30" s="49" t="s">
        <v>28</v>
      </c>
      <c r="E30" s="68"/>
      <c r="F30" s="71"/>
      <c r="G30" s="72"/>
      <c r="H30" s="322"/>
      <c r="I30" s="322"/>
      <c r="J30" s="322"/>
      <c r="K30" s="322"/>
      <c r="L30" s="320"/>
      <c r="M30" s="50"/>
      <c r="N30" s="433"/>
      <c r="O30" s="431"/>
      <c r="P30" s="429"/>
      <c r="Q30" s="69"/>
      <c r="R30" s="433"/>
      <c r="S30" s="431"/>
      <c r="T30" s="429"/>
      <c r="U30" s="69"/>
      <c r="V30" s="71">
        <v>13797.22</v>
      </c>
      <c r="W30" s="72">
        <f t="shared" si="6"/>
        <v>1292.3464561028838</v>
      </c>
      <c r="X30" s="429"/>
      <c r="Y30" s="415">
        <f>V30*X27/SUM(V27:V32)</f>
        <v>12995.338982467558</v>
      </c>
    </row>
    <row r="31" spans="2:25" x14ac:dyDescent="0.25">
      <c r="D31" s="49" t="s">
        <v>29</v>
      </c>
      <c r="E31" s="68"/>
      <c r="F31" s="71"/>
      <c r="G31" s="72"/>
      <c r="H31" s="322"/>
      <c r="I31" s="322"/>
      <c r="J31" s="322"/>
      <c r="K31" s="322"/>
      <c r="L31" s="320"/>
      <c r="M31" s="50"/>
      <c r="N31" s="433"/>
      <c r="O31" s="431"/>
      <c r="P31" s="429"/>
      <c r="Q31" s="69"/>
      <c r="R31" s="433"/>
      <c r="S31" s="431"/>
      <c r="T31" s="429"/>
      <c r="U31" s="69"/>
      <c r="V31" s="71">
        <v>17386.21</v>
      </c>
      <c r="W31" s="72">
        <f t="shared" si="6"/>
        <v>1628.5169678065959</v>
      </c>
      <c r="X31" s="429"/>
      <c r="Y31" s="415">
        <f>V31*X27/SUM(V27:V32)</f>
        <v>16375.74037163771</v>
      </c>
    </row>
    <row r="32" spans="2:25" x14ac:dyDescent="0.25">
      <c r="D32" s="49" t="s">
        <v>30</v>
      </c>
      <c r="E32" s="68"/>
      <c r="F32" s="73"/>
      <c r="G32" s="74"/>
      <c r="H32" s="323"/>
      <c r="I32" s="323"/>
      <c r="J32" s="323"/>
      <c r="K32" s="323"/>
      <c r="L32" s="321"/>
      <c r="M32" s="50"/>
      <c r="N32" s="447"/>
      <c r="O32" s="445"/>
      <c r="P32" s="430"/>
      <c r="Q32" s="50"/>
      <c r="R32" s="447"/>
      <c r="S32" s="445"/>
      <c r="T32" s="430"/>
      <c r="U32" s="69"/>
      <c r="V32" s="73">
        <v>23360.71</v>
      </c>
      <c r="W32" s="74">
        <f t="shared" si="6"/>
        <v>2188.1314337632657</v>
      </c>
      <c r="X32" s="430"/>
      <c r="Y32" s="416">
        <f>V32*X27/SUM(V27:V32)</f>
        <v>22003.008237972554</v>
      </c>
    </row>
    <row r="33" spans="2:25" x14ac:dyDescent="0.25">
      <c r="B33" s="52"/>
      <c r="C33" s="52"/>
      <c r="D33" s="53"/>
      <c r="E33" s="75"/>
      <c r="F33" s="54">
        <f>SUM(F21:F32)</f>
        <v>0</v>
      </c>
      <c r="G33" s="54">
        <f t="shared" ref="G33:L33" si="7">SUM(G21:G32)</f>
        <v>0</v>
      </c>
      <c r="H33" s="54">
        <f t="shared" si="7"/>
        <v>0</v>
      </c>
      <c r="I33" s="54">
        <f t="shared" si="7"/>
        <v>0</v>
      </c>
      <c r="J33" s="54">
        <f t="shared" si="7"/>
        <v>0</v>
      </c>
      <c r="K33" s="54">
        <f t="shared" si="7"/>
        <v>0</v>
      </c>
      <c r="L33" s="54">
        <f t="shared" si="7"/>
        <v>0</v>
      </c>
      <c r="M33" s="54"/>
      <c r="N33" s="54">
        <f>SUM(N21:N32)</f>
        <v>17268</v>
      </c>
      <c r="O33" s="54"/>
      <c r="P33" s="54">
        <f>SUM(P21:P32)</f>
        <v>59253.58</v>
      </c>
      <c r="Q33" s="54"/>
      <c r="R33" s="54">
        <f t="shared" ref="R33:T33" si="8">SUM(R21:R32)</f>
        <v>520</v>
      </c>
      <c r="S33" s="54"/>
      <c r="T33" s="54">
        <f t="shared" si="8"/>
        <v>43420</v>
      </c>
      <c r="U33" s="55"/>
      <c r="V33" s="54">
        <f t="shared" ref="V33:X33" si="9">SUM(V21:V32)</f>
        <v>164654.25999999998</v>
      </c>
      <c r="W33" s="54">
        <f t="shared" si="9"/>
        <v>15473.849990195671</v>
      </c>
      <c r="X33" s="54">
        <f t="shared" si="9"/>
        <v>151062.57</v>
      </c>
      <c r="Y33" s="91"/>
    </row>
    <row r="34" spans="2:25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71696.8318</v>
      </c>
      <c r="Q34" s="51"/>
      <c r="R34" s="59">
        <v>0.15</v>
      </c>
      <c r="S34" s="59"/>
      <c r="T34" s="60">
        <f>T33*(1+R34)</f>
        <v>49932.999999999993</v>
      </c>
      <c r="U34" s="51"/>
      <c r="V34" s="59">
        <v>0.21</v>
      </c>
      <c r="W34" s="51"/>
      <c r="X34" s="60">
        <f>X33*(1+V34)</f>
        <v>182785.70970000001</v>
      </c>
      <c r="Y34" s="417"/>
    </row>
    <row r="35" spans="2:25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64"/>
      <c r="O35" s="78"/>
      <c r="P35" s="78"/>
      <c r="Q35" s="80"/>
      <c r="R35" s="78"/>
      <c r="S35" s="78"/>
      <c r="T35" s="78"/>
      <c r="U35" s="80"/>
      <c r="X35" s="78"/>
    </row>
    <row r="36" spans="2:25" x14ac:dyDescent="0.25">
      <c r="D36" s="49" t="s">
        <v>19</v>
      </c>
      <c r="E36" s="68"/>
      <c r="F36" s="337"/>
      <c r="G36" s="339"/>
      <c r="H36" s="339"/>
      <c r="I36" s="339"/>
      <c r="J36" s="82"/>
      <c r="K36" s="82"/>
      <c r="L36" s="83"/>
      <c r="M36" s="81"/>
      <c r="N36" s="433">
        <f>+O36</f>
        <v>6298</v>
      </c>
      <c r="O36" s="431">
        <f>(4403+1895)</f>
        <v>6298</v>
      </c>
      <c r="P36" s="429">
        <f>(7374.69+1128.84+115.52+627.97+3117.51+25.22)+(4852.11+1840.05+178.23)</f>
        <v>19260.14</v>
      </c>
      <c r="Q36" s="69"/>
      <c r="R36" s="433">
        <f>+S36</f>
        <v>654</v>
      </c>
      <c r="S36" s="431">
        <f>9+645</f>
        <v>654</v>
      </c>
      <c r="T36" s="429">
        <f>(388.8+378.18) +(27864+27102.9)</f>
        <v>55733.880000000005</v>
      </c>
      <c r="U36" s="70"/>
      <c r="V36" s="337">
        <v>32762.99</v>
      </c>
      <c r="W36" s="339">
        <f t="shared" ref="W36:W42" si="10">+V36/10.6761</f>
        <v>3068.8163280598724</v>
      </c>
      <c r="X36" s="466">
        <f>3051.38+12038.97+7864+261.26+60728.37</f>
        <v>83943.98</v>
      </c>
      <c r="Y36" s="414">
        <f>V36*$X$36/$V$48</f>
        <v>27580.284530866891</v>
      </c>
    </row>
    <row r="37" spans="2:25" x14ac:dyDescent="0.25">
      <c r="D37" s="49" t="s">
        <v>20</v>
      </c>
      <c r="E37" s="68"/>
      <c r="F37" s="71"/>
      <c r="G37" s="72"/>
      <c r="H37" s="72"/>
      <c r="I37" s="72"/>
      <c r="J37" s="84"/>
      <c r="K37" s="84"/>
      <c r="L37" s="85"/>
      <c r="M37" s="81"/>
      <c r="N37" s="433"/>
      <c r="O37" s="431"/>
      <c r="P37" s="429"/>
      <c r="Q37" s="69"/>
      <c r="R37" s="433"/>
      <c r="S37" s="431"/>
      <c r="T37" s="429"/>
      <c r="U37" s="69"/>
      <c r="V37" s="71">
        <v>22114.23</v>
      </c>
      <c r="W37" s="72">
        <f t="shared" si="10"/>
        <v>2071.3771882990982</v>
      </c>
      <c r="X37" s="466"/>
      <c r="Y37" s="415">
        <f t="shared" ref="Y37:Y42" si="11">V37*$X$36/$V$48</f>
        <v>18616.02849987234</v>
      </c>
    </row>
    <row r="38" spans="2:25" x14ac:dyDescent="0.25">
      <c r="D38" s="49" t="s">
        <v>21</v>
      </c>
      <c r="E38" s="68"/>
      <c r="F38" s="71"/>
      <c r="G38" s="72"/>
      <c r="H38" s="72"/>
      <c r="I38" s="72"/>
      <c r="J38" s="84"/>
      <c r="K38" s="84"/>
      <c r="L38" s="85"/>
      <c r="M38" s="81"/>
      <c r="N38" s="433"/>
      <c r="O38" s="431"/>
      <c r="P38" s="429"/>
      <c r="Q38" s="69"/>
      <c r="R38" s="433"/>
      <c r="S38" s="431"/>
      <c r="T38" s="429"/>
      <c r="U38" s="69"/>
      <c r="V38" s="71">
        <v>23919.47</v>
      </c>
      <c r="W38" s="72">
        <f t="shared" si="10"/>
        <v>2240.4688978184918</v>
      </c>
      <c r="X38" s="466"/>
      <c r="Y38" s="415">
        <f t="shared" si="11"/>
        <v>20135.701547005774</v>
      </c>
    </row>
    <row r="39" spans="2:25" x14ac:dyDescent="0.25">
      <c r="D39" s="49" t="s">
        <v>22</v>
      </c>
      <c r="E39" s="68"/>
      <c r="F39" s="71"/>
      <c r="G39" s="72"/>
      <c r="H39" s="72"/>
      <c r="I39" s="72"/>
      <c r="J39" s="84"/>
      <c r="K39" s="84"/>
      <c r="L39" s="85"/>
      <c r="M39" s="81"/>
      <c r="N39" s="434"/>
      <c r="O39" s="432"/>
      <c r="P39" s="435"/>
      <c r="Q39" s="69"/>
      <c r="R39" s="433"/>
      <c r="S39" s="431"/>
      <c r="T39" s="429"/>
      <c r="U39" s="69"/>
      <c r="V39" s="71">
        <v>13571.56</v>
      </c>
      <c r="W39" s="72">
        <f t="shared" si="10"/>
        <v>1271.2095240771441</v>
      </c>
      <c r="X39" s="466"/>
      <c r="Y39" s="415">
        <f t="shared" si="11"/>
        <v>11424.704714915575</v>
      </c>
    </row>
    <row r="40" spans="2:25" x14ac:dyDescent="0.25">
      <c r="D40" s="49" t="s">
        <v>23</v>
      </c>
      <c r="E40" s="68"/>
      <c r="F40" s="71"/>
      <c r="G40" s="72"/>
      <c r="H40" s="72"/>
      <c r="I40" s="72"/>
      <c r="J40" s="84"/>
      <c r="K40" s="84"/>
      <c r="L40" s="85"/>
      <c r="M40" s="81"/>
      <c r="N40" s="433">
        <f>+O40</f>
        <v>11204</v>
      </c>
      <c r="O40" s="431">
        <f>+(8468+2736)</f>
        <v>11204</v>
      </c>
      <c r="P40" s="429">
        <v>37073.47</v>
      </c>
      <c r="Q40" s="69"/>
      <c r="R40" s="433"/>
      <c r="S40" s="431"/>
      <c r="T40" s="429"/>
      <c r="U40" s="69"/>
      <c r="V40" s="71">
        <v>5684.37</v>
      </c>
      <c r="W40" s="72">
        <f t="shared" si="10"/>
        <v>532.43881192570325</v>
      </c>
      <c r="X40" s="466"/>
      <c r="Y40" s="415">
        <f t="shared" si="11"/>
        <v>4785.1719876215147</v>
      </c>
    </row>
    <row r="41" spans="2:25" x14ac:dyDescent="0.25">
      <c r="D41" s="49" t="s">
        <v>24</v>
      </c>
      <c r="E41" s="68"/>
      <c r="F41" s="71"/>
      <c r="G41" s="72"/>
      <c r="H41" s="72"/>
      <c r="I41" s="72"/>
      <c r="J41" s="84"/>
      <c r="K41" s="84"/>
      <c r="L41" s="85"/>
      <c r="M41" s="81"/>
      <c r="N41" s="433"/>
      <c r="O41" s="431"/>
      <c r="P41" s="429"/>
      <c r="Q41" s="69"/>
      <c r="R41" s="433"/>
      <c r="S41" s="431"/>
      <c r="T41" s="429"/>
      <c r="U41" s="69"/>
      <c r="V41" s="71">
        <v>1203.5</v>
      </c>
      <c r="W41" s="72">
        <f t="shared" si="10"/>
        <v>112.72843079401655</v>
      </c>
      <c r="X41" s="466"/>
      <c r="Y41" s="415">
        <f t="shared" si="11"/>
        <v>1013.1209768369218</v>
      </c>
    </row>
    <row r="42" spans="2:25" x14ac:dyDescent="0.25">
      <c r="D42" s="49" t="s">
        <v>25</v>
      </c>
      <c r="E42" s="68"/>
      <c r="F42" s="71"/>
      <c r="G42" s="72"/>
      <c r="H42" s="72"/>
      <c r="I42" s="72"/>
      <c r="J42" s="84"/>
      <c r="K42" s="84"/>
      <c r="L42" s="85"/>
      <c r="M42" s="81"/>
      <c r="N42" s="433"/>
      <c r="O42" s="431"/>
      <c r="P42" s="429"/>
      <c r="Q42" s="69"/>
      <c r="R42" s="433"/>
      <c r="S42" s="431"/>
      <c r="T42" s="429"/>
      <c r="U42" s="69"/>
      <c r="V42" s="71">
        <v>462.06</v>
      </c>
      <c r="W42" s="72">
        <f t="shared" si="10"/>
        <v>43.279849383201729</v>
      </c>
      <c r="X42" s="468"/>
      <c r="Y42" s="415">
        <f t="shared" si="11"/>
        <v>388.9677428809872</v>
      </c>
    </row>
    <row r="43" spans="2:25" x14ac:dyDescent="0.25">
      <c r="D43" s="49" t="s">
        <v>26</v>
      </c>
      <c r="E43" s="68"/>
      <c r="F43" s="71"/>
      <c r="G43" s="72"/>
      <c r="H43" s="72"/>
      <c r="I43" s="72"/>
      <c r="J43" s="84"/>
      <c r="K43" s="84"/>
      <c r="L43" s="85"/>
      <c r="M43" s="81"/>
      <c r="N43" s="433"/>
      <c r="O43" s="431"/>
      <c r="P43" s="429"/>
      <c r="Q43" s="69"/>
      <c r="R43" s="433"/>
      <c r="S43" s="431"/>
      <c r="T43" s="429"/>
      <c r="U43" s="69"/>
      <c r="V43" s="71"/>
      <c r="W43" s="72"/>
      <c r="X43" s="320"/>
      <c r="Y43" s="415"/>
    </row>
    <row r="44" spans="2:25" x14ac:dyDescent="0.25">
      <c r="D44" s="49" t="s">
        <v>27</v>
      </c>
      <c r="E44" s="68"/>
      <c r="F44" s="71"/>
      <c r="G44" s="72"/>
      <c r="H44" s="72"/>
      <c r="I44" s="72"/>
      <c r="J44" s="84"/>
      <c r="K44" s="84"/>
      <c r="L44" s="85"/>
      <c r="M44" s="81"/>
      <c r="N44" s="433"/>
      <c r="O44" s="431"/>
      <c r="P44" s="429"/>
      <c r="Q44" s="69"/>
      <c r="R44" s="433"/>
      <c r="S44" s="431"/>
      <c r="T44" s="429"/>
      <c r="U44" s="69"/>
      <c r="V44" s="71"/>
      <c r="W44" s="72"/>
      <c r="X44" s="320"/>
      <c r="Y44" s="415"/>
    </row>
    <row r="45" spans="2:25" x14ac:dyDescent="0.25">
      <c r="D45" s="49" t="s">
        <v>28</v>
      </c>
      <c r="E45" s="68"/>
      <c r="F45" s="71"/>
      <c r="G45" s="72"/>
      <c r="H45" s="72"/>
      <c r="I45" s="72"/>
      <c r="J45" s="84"/>
      <c r="K45" s="84"/>
      <c r="L45" s="85"/>
      <c r="M45" s="81"/>
      <c r="N45" s="433"/>
      <c r="O45" s="431"/>
      <c r="P45" s="429"/>
      <c r="Q45" s="69"/>
      <c r="R45" s="433"/>
      <c r="S45" s="431"/>
      <c r="T45" s="429"/>
      <c r="U45" s="69"/>
      <c r="V45" s="71"/>
      <c r="W45" s="72"/>
      <c r="X45" s="320"/>
      <c r="Y45" s="415"/>
    </row>
    <row r="46" spans="2:25" x14ac:dyDescent="0.25">
      <c r="D46" s="49" t="s">
        <v>29</v>
      </c>
      <c r="E46" s="68"/>
      <c r="F46" s="71"/>
      <c r="G46" s="72"/>
      <c r="H46" s="72"/>
      <c r="I46" s="72"/>
      <c r="J46" s="84"/>
      <c r="K46" s="84"/>
      <c r="L46" s="85"/>
      <c r="M46" s="81"/>
      <c r="N46" s="433"/>
      <c r="O46" s="431"/>
      <c r="P46" s="429"/>
      <c r="Q46" s="69"/>
      <c r="R46" s="433"/>
      <c r="S46" s="431"/>
      <c r="T46" s="429"/>
      <c r="U46" s="69"/>
      <c r="V46" s="71"/>
      <c r="W46" s="72"/>
      <c r="X46" s="320"/>
      <c r="Y46" s="415"/>
    </row>
    <row r="47" spans="2:25" x14ac:dyDescent="0.25">
      <c r="D47" s="49" t="s">
        <v>30</v>
      </c>
      <c r="E47" s="68"/>
      <c r="F47" s="73"/>
      <c r="G47" s="74"/>
      <c r="H47" s="74"/>
      <c r="I47" s="74"/>
      <c r="J47" s="86"/>
      <c r="K47" s="86"/>
      <c r="L47" s="87"/>
      <c r="M47" s="81"/>
      <c r="N47" s="447"/>
      <c r="O47" s="445"/>
      <c r="P47" s="430"/>
      <c r="Q47" s="50"/>
      <c r="R47" s="447"/>
      <c r="S47" s="445"/>
      <c r="T47" s="430"/>
      <c r="U47" s="69"/>
      <c r="V47" s="73"/>
      <c r="W47" s="74"/>
      <c r="X47" s="321"/>
      <c r="Y47" s="416"/>
    </row>
    <row r="48" spans="2:25" x14ac:dyDescent="0.25">
      <c r="B48" s="52"/>
      <c r="C48" s="52"/>
      <c r="D48" s="53"/>
      <c r="E48" s="75"/>
      <c r="F48" s="54">
        <f>SUM(F36:F47)</f>
        <v>0</v>
      </c>
      <c r="G48" s="54">
        <f t="shared" ref="G48:L48" si="12">SUM(G36:G47)</f>
        <v>0</v>
      </c>
      <c r="H48" s="54">
        <f t="shared" si="12"/>
        <v>0</v>
      </c>
      <c r="I48" s="54">
        <f t="shared" si="12"/>
        <v>0</v>
      </c>
      <c r="J48" s="54">
        <f t="shared" si="12"/>
        <v>0</v>
      </c>
      <c r="K48" s="54">
        <f t="shared" si="12"/>
        <v>0</v>
      </c>
      <c r="L48" s="54">
        <f t="shared" si="12"/>
        <v>0</v>
      </c>
      <c r="M48" s="54"/>
      <c r="N48" s="54">
        <f>SUM(N36:N47)</f>
        <v>17502</v>
      </c>
      <c r="O48" s="54"/>
      <c r="P48" s="54">
        <f>SUM(P36:P47)</f>
        <v>56333.61</v>
      </c>
      <c r="Q48" s="54"/>
      <c r="R48" s="54">
        <f t="shared" ref="R48:T48" si="13">SUM(R36:R47)</f>
        <v>654</v>
      </c>
      <c r="S48" s="54"/>
      <c r="T48" s="54">
        <f t="shared" si="13"/>
        <v>55733.880000000005</v>
      </c>
      <c r="U48" s="55"/>
      <c r="V48" s="54">
        <f t="shared" ref="V48:X48" si="14">SUM(V36:V47)</f>
        <v>99718.18</v>
      </c>
      <c r="W48" s="54">
        <f t="shared" si="14"/>
        <v>9340.3190303575302</v>
      </c>
      <c r="X48" s="54">
        <f t="shared" si="14"/>
        <v>83943.98</v>
      </c>
    </row>
    <row r="49" spans="1:25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68163.668099999995</v>
      </c>
      <c r="Q49" s="51"/>
      <c r="R49" s="59">
        <v>0.15</v>
      </c>
      <c r="S49" s="59"/>
      <c r="T49" s="60">
        <f>T48*(1+R49)</f>
        <v>64093.962</v>
      </c>
      <c r="U49" s="51"/>
      <c r="V49" s="59">
        <v>0.21</v>
      </c>
      <c r="W49" s="51"/>
      <c r="X49" s="60">
        <f>X48*(1+V49)</f>
        <v>101572.21579999999</v>
      </c>
      <c r="Y49" s="77"/>
    </row>
    <row r="51" spans="1:25" x14ac:dyDescent="0.25">
      <c r="B51" s="41" t="s">
        <v>36</v>
      </c>
      <c r="P51" s="43"/>
      <c r="Q51" s="88"/>
      <c r="R51" s="43"/>
      <c r="S51" s="43"/>
      <c r="T51" s="43"/>
      <c r="U51" s="88"/>
      <c r="V51" s="43"/>
      <c r="W51" s="43"/>
      <c r="X51" s="43"/>
    </row>
    <row r="52" spans="1:25" x14ac:dyDescent="0.25">
      <c r="B52" s="89" t="s">
        <v>198</v>
      </c>
    </row>
    <row r="53" spans="1:25" x14ac:dyDescent="0.25">
      <c r="B53" s="89" t="s">
        <v>200</v>
      </c>
    </row>
    <row r="54" spans="1:25" x14ac:dyDescent="0.25">
      <c r="B54" s="329" t="s">
        <v>206</v>
      </c>
    </row>
    <row r="55" spans="1:25" x14ac:dyDescent="0.25">
      <c r="A55" s="89"/>
      <c r="B55" s="89"/>
    </row>
    <row r="56" spans="1:25" x14ac:dyDescent="0.25">
      <c r="B56" s="89"/>
    </row>
    <row r="57" spans="1:25" x14ac:dyDescent="0.25">
      <c r="B57" s="91"/>
    </row>
    <row r="58" spans="1:25" x14ac:dyDescent="0.25">
      <c r="B58" s="91"/>
    </row>
    <row r="59" spans="1:25" x14ac:dyDescent="0.25">
      <c r="B59" s="91"/>
    </row>
    <row r="60" spans="1:25" x14ac:dyDescent="0.25">
      <c r="B60" s="91"/>
    </row>
    <row r="61" spans="1:25" x14ac:dyDescent="0.25">
      <c r="B61" s="91"/>
    </row>
  </sheetData>
  <mergeCells count="43">
    <mergeCell ref="V2:Y2"/>
    <mergeCell ref="P36:P39"/>
    <mergeCell ref="P40:P47"/>
    <mergeCell ref="P10:P17"/>
    <mergeCell ref="P6:P9"/>
    <mergeCell ref="P21:P24"/>
    <mergeCell ref="P25:P32"/>
    <mergeCell ref="R21:R32"/>
    <mergeCell ref="S36:S47"/>
    <mergeCell ref="R36:R47"/>
    <mergeCell ref="V3:Y3"/>
    <mergeCell ref="X6:X11"/>
    <mergeCell ref="X12:X17"/>
    <mergeCell ref="X21:X26"/>
    <mergeCell ref="X27:X32"/>
    <mergeCell ref="X36:X42"/>
    <mergeCell ref="D2:D4"/>
    <mergeCell ref="F2:L2"/>
    <mergeCell ref="N2:P2"/>
    <mergeCell ref="R2:T2"/>
    <mergeCell ref="F3:G3"/>
    <mergeCell ref="H3:I3"/>
    <mergeCell ref="J3:L3"/>
    <mergeCell ref="N3:P3"/>
    <mergeCell ref="R3:T3"/>
    <mergeCell ref="N40:N47"/>
    <mergeCell ref="O40:O47"/>
    <mergeCell ref="N6:N9"/>
    <mergeCell ref="N10:N17"/>
    <mergeCell ref="O10:O17"/>
    <mergeCell ref="O21:O24"/>
    <mergeCell ref="N21:N24"/>
    <mergeCell ref="O6:O9"/>
    <mergeCell ref="N25:N32"/>
    <mergeCell ref="O25:O32"/>
    <mergeCell ref="O36:O39"/>
    <mergeCell ref="N36:N39"/>
    <mergeCell ref="T6:T17"/>
    <mergeCell ref="T36:T47"/>
    <mergeCell ref="T21:T32"/>
    <mergeCell ref="S6:S17"/>
    <mergeCell ref="R6:R17"/>
    <mergeCell ref="S21:S32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Z61"/>
  <sheetViews>
    <sheetView zoomScaleNormal="100" workbookViewId="0">
      <pane ySplit="4" topLeftCell="A8" activePane="bottomLeft" state="frozen"/>
      <selection pane="bottomLeft" activeCell="P40" sqref="P40:P47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9" width="11.5703125" style="40" customWidth="1"/>
    <col min="10" max="10" width="10" style="40" customWidth="1"/>
    <col min="11" max="11" width="10" style="40" hidden="1" customWidth="1" outlineLevel="1"/>
    <col min="12" max="12" width="10" style="40" customWidth="1" collapsed="1"/>
    <col min="13" max="13" width="1.5703125" style="42" customWidth="1"/>
    <col min="14" max="14" width="12.7109375" style="40" customWidth="1"/>
    <col min="15" max="15" width="22.85546875" style="40" hidden="1" customWidth="1" outlineLevel="1"/>
    <col min="16" max="16" width="12.7109375" style="40" customWidth="1" collapsed="1"/>
    <col min="17" max="17" width="3.28515625" style="42" customWidth="1"/>
    <col min="18" max="18" width="14" style="40" customWidth="1"/>
    <col min="19" max="19" width="14" style="40" hidden="1" customWidth="1" outlineLevel="1"/>
    <col min="20" max="20" width="14" style="40" customWidth="1" collapsed="1"/>
    <col min="21" max="21" width="3.28515625" style="42" customWidth="1"/>
    <col min="22" max="24" width="10.140625" style="40"/>
    <col min="25" max="25" width="11" style="40" hidden="1" customWidth="1" outlineLevel="1"/>
    <col min="26" max="26" width="10.140625" style="40" collapsed="1"/>
    <col min="27" max="265" width="10.140625" style="40"/>
    <col min="266" max="278" width="14" style="40" customWidth="1"/>
    <col min="279" max="521" width="10.140625" style="40"/>
    <col min="522" max="534" width="14" style="40" customWidth="1"/>
    <col min="535" max="777" width="10.140625" style="40"/>
    <col min="778" max="790" width="14" style="40" customWidth="1"/>
    <col min="791" max="1033" width="10.140625" style="40"/>
    <col min="1034" max="1046" width="14" style="40" customWidth="1"/>
    <col min="1047" max="1289" width="10.140625" style="40"/>
    <col min="1290" max="1302" width="14" style="40" customWidth="1"/>
    <col min="1303" max="1545" width="10.140625" style="40"/>
    <col min="1546" max="1558" width="14" style="40" customWidth="1"/>
    <col min="1559" max="1801" width="10.140625" style="40"/>
    <col min="1802" max="1814" width="14" style="40" customWidth="1"/>
    <col min="1815" max="2057" width="10.140625" style="40"/>
    <col min="2058" max="2070" width="14" style="40" customWidth="1"/>
    <col min="2071" max="2313" width="10.140625" style="40"/>
    <col min="2314" max="2326" width="14" style="40" customWidth="1"/>
    <col min="2327" max="2569" width="10.140625" style="40"/>
    <col min="2570" max="2582" width="14" style="40" customWidth="1"/>
    <col min="2583" max="2825" width="10.140625" style="40"/>
    <col min="2826" max="2838" width="14" style="40" customWidth="1"/>
    <col min="2839" max="3081" width="10.140625" style="40"/>
    <col min="3082" max="3094" width="14" style="40" customWidth="1"/>
    <col min="3095" max="3337" width="10.140625" style="40"/>
    <col min="3338" max="3350" width="14" style="40" customWidth="1"/>
    <col min="3351" max="3593" width="10.140625" style="40"/>
    <col min="3594" max="3606" width="14" style="40" customWidth="1"/>
    <col min="3607" max="3849" width="10.140625" style="40"/>
    <col min="3850" max="3862" width="14" style="40" customWidth="1"/>
    <col min="3863" max="4105" width="10.140625" style="40"/>
    <col min="4106" max="4118" width="14" style="40" customWidth="1"/>
    <col min="4119" max="4361" width="10.140625" style="40"/>
    <col min="4362" max="4374" width="14" style="40" customWidth="1"/>
    <col min="4375" max="4617" width="10.140625" style="40"/>
    <col min="4618" max="4630" width="14" style="40" customWidth="1"/>
    <col min="4631" max="4873" width="10.140625" style="40"/>
    <col min="4874" max="4886" width="14" style="40" customWidth="1"/>
    <col min="4887" max="5129" width="10.140625" style="40"/>
    <col min="5130" max="5142" width="14" style="40" customWidth="1"/>
    <col min="5143" max="5385" width="10.140625" style="40"/>
    <col min="5386" max="5398" width="14" style="40" customWidth="1"/>
    <col min="5399" max="5641" width="10.140625" style="40"/>
    <col min="5642" max="5654" width="14" style="40" customWidth="1"/>
    <col min="5655" max="5897" width="10.140625" style="40"/>
    <col min="5898" max="5910" width="14" style="40" customWidth="1"/>
    <col min="5911" max="6153" width="10.140625" style="40"/>
    <col min="6154" max="6166" width="14" style="40" customWidth="1"/>
    <col min="6167" max="6409" width="10.140625" style="40"/>
    <col min="6410" max="6422" width="14" style="40" customWidth="1"/>
    <col min="6423" max="6665" width="10.140625" style="40"/>
    <col min="6666" max="6678" width="14" style="40" customWidth="1"/>
    <col min="6679" max="6921" width="10.140625" style="40"/>
    <col min="6922" max="6934" width="14" style="40" customWidth="1"/>
    <col min="6935" max="7177" width="10.140625" style="40"/>
    <col min="7178" max="7190" width="14" style="40" customWidth="1"/>
    <col min="7191" max="7433" width="10.140625" style="40"/>
    <col min="7434" max="7446" width="14" style="40" customWidth="1"/>
    <col min="7447" max="7689" width="10.140625" style="40"/>
    <col min="7690" max="7702" width="14" style="40" customWidth="1"/>
    <col min="7703" max="7945" width="10.140625" style="40"/>
    <col min="7946" max="7958" width="14" style="40" customWidth="1"/>
    <col min="7959" max="8201" width="10.140625" style="40"/>
    <col min="8202" max="8214" width="14" style="40" customWidth="1"/>
    <col min="8215" max="8457" width="10.140625" style="40"/>
    <col min="8458" max="8470" width="14" style="40" customWidth="1"/>
    <col min="8471" max="8713" width="10.140625" style="40"/>
    <col min="8714" max="8726" width="14" style="40" customWidth="1"/>
    <col min="8727" max="8969" width="10.140625" style="40"/>
    <col min="8970" max="8982" width="14" style="40" customWidth="1"/>
    <col min="8983" max="9225" width="10.140625" style="40"/>
    <col min="9226" max="9238" width="14" style="40" customWidth="1"/>
    <col min="9239" max="9481" width="10.140625" style="40"/>
    <col min="9482" max="9494" width="14" style="40" customWidth="1"/>
    <col min="9495" max="9737" width="10.140625" style="40"/>
    <col min="9738" max="9750" width="14" style="40" customWidth="1"/>
    <col min="9751" max="9993" width="10.140625" style="40"/>
    <col min="9994" max="10006" width="14" style="40" customWidth="1"/>
    <col min="10007" max="10249" width="10.140625" style="40"/>
    <col min="10250" max="10262" width="14" style="40" customWidth="1"/>
    <col min="10263" max="10505" width="10.140625" style="40"/>
    <col min="10506" max="10518" width="14" style="40" customWidth="1"/>
    <col min="10519" max="10761" width="10.140625" style="40"/>
    <col min="10762" max="10774" width="14" style="40" customWidth="1"/>
    <col min="10775" max="11017" width="10.140625" style="40"/>
    <col min="11018" max="11030" width="14" style="40" customWidth="1"/>
    <col min="11031" max="11273" width="10.140625" style="40"/>
    <col min="11274" max="11286" width="14" style="40" customWidth="1"/>
    <col min="11287" max="11529" width="10.140625" style="40"/>
    <col min="11530" max="11542" width="14" style="40" customWidth="1"/>
    <col min="11543" max="11785" width="10.140625" style="40"/>
    <col min="11786" max="11798" width="14" style="40" customWidth="1"/>
    <col min="11799" max="12041" width="10.140625" style="40"/>
    <col min="12042" max="12054" width="14" style="40" customWidth="1"/>
    <col min="12055" max="12297" width="10.140625" style="40"/>
    <col min="12298" max="12310" width="14" style="40" customWidth="1"/>
    <col min="12311" max="12553" width="10.140625" style="40"/>
    <col min="12554" max="12566" width="14" style="40" customWidth="1"/>
    <col min="12567" max="12809" width="10.140625" style="40"/>
    <col min="12810" max="12822" width="14" style="40" customWidth="1"/>
    <col min="12823" max="13065" width="10.140625" style="40"/>
    <col min="13066" max="13078" width="14" style="40" customWidth="1"/>
    <col min="13079" max="13321" width="10.140625" style="40"/>
    <col min="13322" max="13334" width="14" style="40" customWidth="1"/>
    <col min="13335" max="13577" width="10.140625" style="40"/>
    <col min="13578" max="13590" width="14" style="40" customWidth="1"/>
    <col min="13591" max="13833" width="10.140625" style="40"/>
    <col min="13834" max="13846" width="14" style="40" customWidth="1"/>
    <col min="13847" max="14089" width="10.140625" style="40"/>
    <col min="14090" max="14102" width="14" style="40" customWidth="1"/>
    <col min="14103" max="14345" width="10.140625" style="40"/>
    <col min="14346" max="14358" width="14" style="40" customWidth="1"/>
    <col min="14359" max="14601" width="10.140625" style="40"/>
    <col min="14602" max="14614" width="14" style="40" customWidth="1"/>
    <col min="14615" max="14857" width="10.140625" style="40"/>
    <col min="14858" max="14870" width="14" style="40" customWidth="1"/>
    <col min="14871" max="15113" width="10.140625" style="40"/>
    <col min="15114" max="15126" width="14" style="40" customWidth="1"/>
    <col min="15127" max="15369" width="10.140625" style="40"/>
    <col min="15370" max="15382" width="14" style="40" customWidth="1"/>
    <col min="15383" max="15625" width="10.140625" style="40"/>
    <col min="15626" max="15638" width="14" style="40" customWidth="1"/>
    <col min="15639" max="15881" width="10.140625" style="40"/>
    <col min="15882" max="15894" width="14" style="40" customWidth="1"/>
    <col min="15895" max="16137" width="10.140625" style="40"/>
    <col min="16138" max="16150" width="14" style="40" customWidth="1"/>
    <col min="16151" max="16384" width="10.140625" style="40"/>
  </cols>
  <sheetData>
    <row r="1" spans="2:25" ht="4.5" customHeight="1" x14ac:dyDescent="0.25"/>
    <row r="2" spans="2:25" ht="15" customHeight="1" x14ac:dyDescent="0.25">
      <c r="B2" s="43" t="s">
        <v>34</v>
      </c>
      <c r="C2" s="41"/>
      <c r="D2" s="448" t="s">
        <v>32</v>
      </c>
      <c r="E2" s="40"/>
      <c r="F2" s="450" t="s">
        <v>10</v>
      </c>
      <c r="G2" s="450"/>
      <c r="H2" s="450"/>
      <c r="I2" s="450"/>
      <c r="J2" s="450"/>
      <c r="K2" s="450"/>
      <c r="L2" s="450"/>
      <c r="M2" s="66"/>
      <c r="N2" s="451" t="s">
        <v>5</v>
      </c>
      <c r="O2" s="451"/>
      <c r="P2" s="451"/>
      <c r="Q2" s="44"/>
      <c r="R2" s="452" t="s">
        <v>12</v>
      </c>
      <c r="S2" s="452"/>
      <c r="T2" s="452"/>
      <c r="U2" s="40"/>
      <c r="V2" s="453" t="s">
        <v>11</v>
      </c>
      <c r="W2" s="453"/>
      <c r="X2" s="453"/>
      <c r="Y2" s="453"/>
    </row>
    <row r="3" spans="2:25" ht="15" customHeight="1" x14ac:dyDescent="0.25">
      <c r="B3" s="45" t="str">
        <f ca="1">MID(CELL("filename",A8),FIND("]",CELL("filename",A8))+1,LEN(CELL("filename",A8))-FIND("]",CELL("filename",A8)))</f>
        <v>06 MŠ Svojsíkova 355</v>
      </c>
      <c r="C3" s="41"/>
      <c r="D3" s="448"/>
      <c r="E3" s="40"/>
      <c r="F3" s="454" t="s">
        <v>148</v>
      </c>
      <c r="G3" s="454"/>
      <c r="H3" s="454" t="s">
        <v>6</v>
      </c>
      <c r="I3" s="454"/>
      <c r="J3" s="454" t="s">
        <v>147</v>
      </c>
      <c r="K3" s="454"/>
      <c r="L3" s="454"/>
      <c r="M3" s="46"/>
      <c r="N3" s="455" t="s">
        <v>3</v>
      </c>
      <c r="O3" s="455"/>
      <c r="P3" s="455"/>
      <c r="Q3" s="46"/>
      <c r="R3" s="456" t="s">
        <v>3</v>
      </c>
      <c r="S3" s="456"/>
      <c r="T3" s="456"/>
      <c r="U3" s="40"/>
      <c r="V3" s="457" t="s">
        <v>3</v>
      </c>
      <c r="W3" s="457"/>
      <c r="X3" s="457"/>
      <c r="Y3" s="457"/>
    </row>
    <row r="4" spans="2:25" ht="15" customHeight="1" x14ac:dyDescent="0.25">
      <c r="B4" s="47"/>
      <c r="C4" s="47"/>
      <c r="D4" s="449"/>
      <c r="E4" s="40"/>
      <c r="F4" s="35" t="s">
        <v>0</v>
      </c>
      <c r="G4" s="35" t="s">
        <v>8</v>
      </c>
      <c r="H4" s="35" t="s">
        <v>0</v>
      </c>
      <c r="I4" s="35" t="s">
        <v>8</v>
      </c>
      <c r="J4" s="35" t="s">
        <v>0</v>
      </c>
      <c r="K4" s="35" t="s">
        <v>14</v>
      </c>
      <c r="L4" s="35" t="s">
        <v>8</v>
      </c>
      <c r="M4" s="67"/>
      <c r="N4" s="328" t="s">
        <v>2</v>
      </c>
      <c r="O4" s="412" t="s">
        <v>159</v>
      </c>
      <c r="P4" s="36" t="s">
        <v>8</v>
      </c>
      <c r="Q4" s="48"/>
      <c r="R4" s="327" t="s">
        <v>14</v>
      </c>
      <c r="S4" s="359" t="s">
        <v>160</v>
      </c>
      <c r="T4" s="37" t="s">
        <v>8</v>
      </c>
      <c r="U4" s="40"/>
      <c r="V4" s="38" t="s">
        <v>2</v>
      </c>
      <c r="W4" s="38" t="s">
        <v>14</v>
      </c>
      <c r="X4" s="39" t="s">
        <v>8</v>
      </c>
      <c r="Y4" s="413" t="s">
        <v>222</v>
      </c>
    </row>
    <row r="5" spans="2:25" ht="4.5" customHeight="1" x14ac:dyDescent="0.25">
      <c r="D5" s="63"/>
      <c r="E5" s="79"/>
      <c r="F5" s="41"/>
      <c r="G5" s="41"/>
    </row>
    <row r="6" spans="2:25" x14ac:dyDescent="0.25">
      <c r="B6" s="41"/>
      <c r="C6" s="41"/>
      <c r="D6" s="49" t="s">
        <v>19</v>
      </c>
      <c r="E6" s="68"/>
      <c r="F6" s="337"/>
      <c r="G6" s="339"/>
      <c r="H6" s="340"/>
      <c r="I6" s="340"/>
      <c r="J6" s="340"/>
      <c r="K6" s="340"/>
      <c r="L6" s="341"/>
      <c r="M6" s="50"/>
      <c r="N6" s="433">
        <f>+O6</f>
        <v>1154.8</v>
      </c>
      <c r="O6" s="431">
        <f>863.4+291.4</f>
        <v>1154.8</v>
      </c>
      <c r="P6" s="429">
        <v>4549.9399999999996</v>
      </c>
      <c r="Q6" s="69"/>
      <c r="R6" s="433">
        <f>+S6</f>
        <v>116</v>
      </c>
      <c r="S6" s="431">
        <f>2+(17+97)</f>
        <v>116</v>
      </c>
      <c r="T6" s="429">
        <f>(82.3+78.5)+(699.55+3991.55+4474.5)</f>
        <v>9326.4</v>
      </c>
      <c r="U6" s="70"/>
      <c r="V6" s="349">
        <v>19636.509999999998</v>
      </c>
      <c r="W6" s="348">
        <f t="shared" ref="W6:W11" si="0">+V6/10.623</f>
        <v>1848.4900687188176</v>
      </c>
      <c r="X6" s="429">
        <f>58737.91</f>
        <v>58737.91</v>
      </c>
      <c r="Y6" s="414">
        <f>V6*X6/SUM(V6:V11)</f>
        <v>17918.396748891795</v>
      </c>
    </row>
    <row r="7" spans="2:25" x14ac:dyDescent="0.25">
      <c r="B7" s="41"/>
      <c r="C7" s="41"/>
      <c r="D7" s="49" t="s">
        <v>20</v>
      </c>
      <c r="E7" s="68"/>
      <c r="F7" s="71"/>
      <c r="G7" s="72"/>
      <c r="H7" s="322"/>
      <c r="I7" s="322"/>
      <c r="J7" s="322"/>
      <c r="K7" s="322"/>
      <c r="L7" s="320"/>
      <c r="M7" s="50"/>
      <c r="N7" s="433"/>
      <c r="O7" s="431"/>
      <c r="P7" s="429"/>
      <c r="Q7" s="69"/>
      <c r="R7" s="433"/>
      <c r="S7" s="431"/>
      <c r="T7" s="429"/>
      <c r="U7" s="69"/>
      <c r="V7" s="71">
        <v>16574.310000000001</v>
      </c>
      <c r="W7" s="72">
        <f t="shared" si="0"/>
        <v>1560.2287489409773</v>
      </c>
      <c r="X7" s="429"/>
      <c r="Y7" s="414">
        <f>V7*X6/SUM(V6:V11)</f>
        <v>15124.12655910469</v>
      </c>
    </row>
    <row r="8" spans="2:25" x14ac:dyDescent="0.25">
      <c r="B8" s="41"/>
      <c r="C8" s="41"/>
      <c r="D8" s="49" t="s">
        <v>21</v>
      </c>
      <c r="E8" s="68"/>
      <c r="F8" s="71"/>
      <c r="G8" s="72"/>
      <c r="H8" s="322"/>
      <c r="I8" s="322"/>
      <c r="J8" s="322"/>
      <c r="K8" s="322"/>
      <c r="L8" s="320"/>
      <c r="M8" s="50"/>
      <c r="N8" s="433"/>
      <c r="O8" s="431"/>
      <c r="P8" s="429"/>
      <c r="Q8" s="69"/>
      <c r="R8" s="433"/>
      <c r="S8" s="431"/>
      <c r="T8" s="429"/>
      <c r="U8" s="69"/>
      <c r="V8" s="71">
        <v>12805.48</v>
      </c>
      <c r="W8" s="72">
        <f t="shared" si="0"/>
        <v>1205.4485550221218</v>
      </c>
      <c r="X8" s="429"/>
      <c r="Y8" s="414">
        <f>V8*X6/SUM(V6:V11)</f>
        <v>11685.053566035866</v>
      </c>
    </row>
    <row r="9" spans="2:25" x14ac:dyDescent="0.25">
      <c r="B9" s="41"/>
      <c r="C9" s="41"/>
      <c r="D9" s="49" t="s">
        <v>22</v>
      </c>
      <c r="E9" s="68"/>
      <c r="F9" s="71"/>
      <c r="G9" s="72"/>
      <c r="H9" s="322"/>
      <c r="I9" s="322"/>
      <c r="J9" s="322"/>
      <c r="K9" s="322"/>
      <c r="L9" s="320"/>
      <c r="M9" s="50"/>
      <c r="N9" s="434"/>
      <c r="O9" s="432"/>
      <c r="P9" s="435"/>
      <c r="Q9" s="69"/>
      <c r="R9" s="433"/>
      <c r="S9" s="431"/>
      <c r="T9" s="429"/>
      <c r="U9" s="69"/>
      <c r="V9" s="71">
        <v>7741.1</v>
      </c>
      <c r="W9" s="72">
        <f t="shared" si="0"/>
        <v>728.71128683046231</v>
      </c>
      <c r="X9" s="429"/>
      <c r="Y9" s="414">
        <f>V9*X6/SUM(V6:V11)</f>
        <v>7063.7858291950206</v>
      </c>
    </row>
    <row r="10" spans="2:25" x14ac:dyDescent="0.25">
      <c r="B10" s="41"/>
      <c r="C10" s="41"/>
      <c r="D10" s="49" t="s">
        <v>23</v>
      </c>
      <c r="E10" s="68"/>
      <c r="F10" s="71"/>
      <c r="G10" s="72"/>
      <c r="H10" s="322"/>
      <c r="I10" s="322"/>
      <c r="J10" s="322"/>
      <c r="K10" s="322"/>
      <c r="L10" s="320"/>
      <c r="M10" s="50"/>
      <c r="N10" s="433">
        <f>+O10</f>
        <v>1964.2</v>
      </c>
      <c r="O10" s="431">
        <f>1525.5+438.7</f>
        <v>1964.2</v>
      </c>
      <c r="P10" s="429">
        <f>(2099.42+2580.83+26.18+234.23+972.28+14.83)+(1978.57+362.37+55.59)</f>
        <v>8324.2999999999993</v>
      </c>
      <c r="Q10" s="69"/>
      <c r="R10" s="433"/>
      <c r="S10" s="431"/>
      <c r="T10" s="429"/>
      <c r="U10" s="69"/>
      <c r="V10" s="71">
        <v>5449.82</v>
      </c>
      <c r="W10" s="72">
        <f t="shared" si="0"/>
        <v>513.02080391603124</v>
      </c>
      <c r="X10" s="429"/>
      <c r="Y10" s="414">
        <f>V10*X6/SUM(V6:V11)</f>
        <v>4972.9833341080202</v>
      </c>
    </row>
    <row r="11" spans="2:25" x14ac:dyDescent="0.25">
      <c r="B11" s="41"/>
      <c r="C11" s="41"/>
      <c r="D11" s="49" t="s">
        <v>24</v>
      </c>
      <c r="E11" s="68"/>
      <c r="F11" s="71"/>
      <c r="G11" s="72"/>
      <c r="H11" s="322"/>
      <c r="I11" s="322"/>
      <c r="J11" s="322"/>
      <c r="K11" s="322"/>
      <c r="L11" s="320"/>
      <c r="M11" s="50"/>
      <c r="N11" s="433"/>
      <c r="O11" s="431"/>
      <c r="P11" s="429"/>
      <c r="Q11" s="69"/>
      <c r="R11" s="433"/>
      <c r="S11" s="431"/>
      <c r="T11" s="429"/>
      <c r="U11" s="69"/>
      <c r="V11" s="71">
        <v>2162.8000000000002</v>
      </c>
      <c r="W11" s="72">
        <f t="shared" si="0"/>
        <v>203.59597100630711</v>
      </c>
      <c r="X11" s="435"/>
      <c r="Y11" s="414">
        <f>V11*X6/SUM(V6:V11)</f>
        <v>1973.5639626646071</v>
      </c>
    </row>
    <row r="12" spans="2:25" x14ac:dyDescent="0.25">
      <c r="B12" s="41"/>
      <c r="C12" s="41"/>
      <c r="D12" s="49" t="s">
        <v>25</v>
      </c>
      <c r="E12" s="68"/>
      <c r="F12" s="71"/>
      <c r="G12" s="72"/>
      <c r="H12" s="322"/>
      <c r="I12" s="322"/>
      <c r="J12" s="322"/>
      <c r="K12" s="322"/>
      <c r="L12" s="320"/>
      <c r="M12" s="50"/>
      <c r="N12" s="433"/>
      <c r="O12" s="431"/>
      <c r="P12" s="429"/>
      <c r="Q12" s="69"/>
      <c r="R12" s="433"/>
      <c r="S12" s="431"/>
      <c r="T12" s="429"/>
      <c r="U12" s="69"/>
      <c r="V12" s="71">
        <f>438.98+972.81</f>
        <v>1411.79</v>
      </c>
      <c r="W12" s="72">
        <f>438.98/10.623+972.81/10.6138</f>
        <v>132.97874685805763</v>
      </c>
      <c r="X12" s="465">
        <v>30158.53</v>
      </c>
      <c r="Y12" s="415">
        <f>V12*X12/SUM(V12:V17)</f>
        <v>1319.2327388599961</v>
      </c>
    </row>
    <row r="13" spans="2:25" x14ac:dyDescent="0.25">
      <c r="B13" s="41"/>
      <c r="C13" s="41"/>
      <c r="D13" s="49" t="s">
        <v>26</v>
      </c>
      <c r="E13" s="68"/>
      <c r="F13" s="71"/>
      <c r="G13" s="72"/>
      <c r="H13" s="322"/>
      <c r="I13" s="322"/>
      <c r="J13" s="322"/>
      <c r="K13" s="322"/>
      <c r="L13" s="320"/>
      <c r="M13" s="50"/>
      <c r="N13" s="433"/>
      <c r="O13" s="431"/>
      <c r="P13" s="429"/>
      <c r="Q13" s="69"/>
      <c r="R13" s="433"/>
      <c r="S13" s="431"/>
      <c r="T13" s="429"/>
      <c r="U13" s="69"/>
      <c r="V13" s="71">
        <v>1988.38</v>
      </c>
      <c r="W13" s="72">
        <f t="shared" ref="W13:W17" si="1">+V13/10.6138</f>
        <v>187.33912453598148</v>
      </c>
      <c r="X13" s="466"/>
      <c r="Y13" s="415">
        <f>V13*X12/SUM(V12:V17)</f>
        <v>1858.0213723673062</v>
      </c>
    </row>
    <row r="14" spans="2:25" x14ac:dyDescent="0.25">
      <c r="B14" s="41"/>
      <c r="C14" s="41"/>
      <c r="D14" s="49" t="s">
        <v>27</v>
      </c>
      <c r="E14" s="68"/>
      <c r="F14" s="71"/>
      <c r="G14" s="72"/>
      <c r="H14" s="322"/>
      <c r="I14" s="322"/>
      <c r="J14" s="322"/>
      <c r="K14" s="322"/>
      <c r="L14" s="320"/>
      <c r="M14" s="50"/>
      <c r="N14" s="433"/>
      <c r="O14" s="431"/>
      <c r="P14" s="429"/>
      <c r="Q14" s="69"/>
      <c r="R14" s="433"/>
      <c r="S14" s="431"/>
      <c r="T14" s="429"/>
      <c r="U14" s="69"/>
      <c r="V14" s="71">
        <v>2672.55</v>
      </c>
      <c r="W14" s="72">
        <f t="shared" si="1"/>
        <v>251.79954398989997</v>
      </c>
      <c r="X14" s="466"/>
      <c r="Y14" s="415">
        <f>V14*X12/SUM(V12:V17)</f>
        <v>2497.3370375482773</v>
      </c>
    </row>
    <row r="15" spans="2:25" x14ac:dyDescent="0.25">
      <c r="B15" s="41"/>
      <c r="C15" s="41"/>
      <c r="D15" s="49" t="s">
        <v>28</v>
      </c>
      <c r="E15" s="68"/>
      <c r="F15" s="71"/>
      <c r="G15" s="72"/>
      <c r="H15" s="322"/>
      <c r="I15" s="322"/>
      <c r="J15" s="322"/>
      <c r="K15" s="322"/>
      <c r="L15" s="320"/>
      <c r="M15" s="50"/>
      <c r="N15" s="433"/>
      <c r="O15" s="431"/>
      <c r="P15" s="429"/>
      <c r="Q15" s="69"/>
      <c r="R15" s="433"/>
      <c r="S15" s="431"/>
      <c r="T15" s="429"/>
      <c r="U15" s="69"/>
      <c r="V15" s="71">
        <v>6189.64</v>
      </c>
      <c r="W15" s="72">
        <f t="shared" si="1"/>
        <v>583.16908176148036</v>
      </c>
      <c r="X15" s="466"/>
      <c r="Y15" s="415">
        <f>V15*X12/SUM(V12:V17)</f>
        <v>5783.8458480067056</v>
      </c>
    </row>
    <row r="16" spans="2:25" x14ac:dyDescent="0.25">
      <c r="B16" s="41"/>
      <c r="C16" s="41"/>
      <c r="D16" s="49" t="s">
        <v>29</v>
      </c>
      <c r="E16" s="68"/>
      <c r="F16" s="71"/>
      <c r="G16" s="72"/>
      <c r="H16" s="322"/>
      <c r="I16" s="322"/>
      <c r="J16" s="322"/>
      <c r="K16" s="322"/>
      <c r="L16" s="320"/>
      <c r="M16" s="50"/>
      <c r="N16" s="433"/>
      <c r="O16" s="431"/>
      <c r="P16" s="429"/>
      <c r="Q16" s="69"/>
      <c r="R16" s="433"/>
      <c r="S16" s="431"/>
      <c r="T16" s="429"/>
      <c r="U16" s="69"/>
      <c r="V16" s="71">
        <v>10636.77</v>
      </c>
      <c r="W16" s="72">
        <f t="shared" si="1"/>
        <v>1002.1641636360212</v>
      </c>
      <c r="X16" s="466"/>
      <c r="Y16" s="415">
        <f>V16*X12/SUM(V12:V17)</f>
        <v>9939.4210326775519</v>
      </c>
    </row>
    <row r="17" spans="2:25" x14ac:dyDescent="0.25">
      <c r="B17" s="41"/>
      <c r="C17" s="41"/>
      <c r="D17" s="49" t="s">
        <v>30</v>
      </c>
      <c r="E17" s="68"/>
      <c r="F17" s="73"/>
      <c r="G17" s="74"/>
      <c r="H17" s="323"/>
      <c r="I17" s="323"/>
      <c r="J17" s="323"/>
      <c r="K17" s="323"/>
      <c r="L17" s="321"/>
      <c r="M17" s="50"/>
      <c r="N17" s="447"/>
      <c r="O17" s="445"/>
      <c r="P17" s="430"/>
      <c r="Q17" s="50"/>
      <c r="R17" s="447"/>
      <c r="S17" s="445"/>
      <c r="T17" s="430"/>
      <c r="U17" s="69"/>
      <c r="V17" s="73">
        <v>9375.32</v>
      </c>
      <c r="W17" s="74">
        <f t="shared" si="1"/>
        <v>883.31417588422619</v>
      </c>
      <c r="X17" s="467"/>
      <c r="Y17" s="416">
        <f>V17*X12/SUM(V12:V17)</f>
        <v>8760.6719705401629</v>
      </c>
    </row>
    <row r="18" spans="2:25" x14ac:dyDescent="0.25">
      <c r="B18" s="52"/>
      <c r="C18" s="52"/>
      <c r="D18" s="53"/>
      <c r="E18" s="75"/>
      <c r="F18" s="54">
        <f>SUM(F6:F17)</f>
        <v>0</v>
      </c>
      <c r="G18" s="54">
        <f t="shared" ref="G18:L18" si="2">SUM(G6:G17)</f>
        <v>0</v>
      </c>
      <c r="H18" s="54">
        <f t="shared" si="2"/>
        <v>0</v>
      </c>
      <c r="I18" s="54">
        <f t="shared" si="2"/>
        <v>0</v>
      </c>
      <c r="J18" s="54">
        <f t="shared" si="2"/>
        <v>0</v>
      </c>
      <c r="K18" s="54">
        <f t="shared" si="2"/>
        <v>0</v>
      </c>
      <c r="L18" s="54">
        <f t="shared" si="2"/>
        <v>0</v>
      </c>
      <c r="M18" s="65"/>
      <c r="N18" s="54">
        <f t="shared" ref="N18:P18" si="3">SUM(N6:N17)</f>
        <v>3119</v>
      </c>
      <c r="O18" s="54"/>
      <c r="P18" s="54">
        <f t="shared" si="3"/>
        <v>12874.239999999998</v>
      </c>
      <c r="Q18" s="76"/>
      <c r="R18" s="54">
        <f>SUM(R6:R17)</f>
        <v>116</v>
      </c>
      <c r="S18" s="54"/>
      <c r="T18" s="54">
        <f>SUM(T6:T17)</f>
        <v>9326.4</v>
      </c>
      <c r="U18" s="40"/>
      <c r="V18" s="54">
        <f t="shared" ref="V18:X18" si="4">SUM(V6:V17)</f>
        <v>96644.47</v>
      </c>
      <c r="W18" s="54">
        <f t="shared" si="4"/>
        <v>9100.2602711003856</v>
      </c>
      <c r="X18" s="54">
        <f t="shared" si="4"/>
        <v>88896.44</v>
      </c>
      <c r="Y18" s="91"/>
    </row>
    <row r="19" spans="2:25" ht="15.75" x14ac:dyDescent="0.25">
      <c r="B19" s="56">
        <v>2014</v>
      </c>
      <c r="C19" s="57"/>
      <c r="D19" s="58" t="s">
        <v>35</v>
      </c>
      <c r="E19" s="77"/>
      <c r="F19" s="59">
        <v>0.15</v>
      </c>
      <c r="G19" s="60">
        <f>G18*(1+F19)</f>
        <v>0</v>
      </c>
      <c r="H19" s="60"/>
      <c r="I19" s="60">
        <f>I18*(1+F19)</f>
        <v>0</v>
      </c>
      <c r="J19" s="61"/>
      <c r="K19" s="62"/>
      <c r="L19" s="60">
        <f>L18*(1+F19)</f>
        <v>0</v>
      </c>
      <c r="M19" s="77"/>
      <c r="N19" s="59">
        <v>0.21</v>
      </c>
      <c r="O19" s="59"/>
      <c r="P19" s="60">
        <f>P18*(1+N19)</f>
        <v>15577.830399999997</v>
      </c>
      <c r="Q19" s="77"/>
      <c r="R19" s="59">
        <v>0.15</v>
      </c>
      <c r="S19" s="59"/>
      <c r="T19" s="60">
        <f>T18*(1+R19)</f>
        <v>10725.359999999999</v>
      </c>
      <c r="U19" s="77"/>
      <c r="V19" s="59">
        <v>0.21</v>
      </c>
      <c r="W19" s="51"/>
      <c r="X19" s="60">
        <f>X18*(1+V19)</f>
        <v>107564.6924</v>
      </c>
      <c r="Y19" s="417"/>
    </row>
    <row r="20" spans="2:25" ht="3.75" customHeight="1" x14ac:dyDescent="0.25">
      <c r="F20" s="64"/>
      <c r="G20" s="78"/>
      <c r="H20" s="78"/>
      <c r="I20" s="78"/>
      <c r="J20" s="78"/>
      <c r="K20" s="78"/>
      <c r="L20" s="78"/>
      <c r="M20" s="80"/>
      <c r="N20" s="78"/>
      <c r="O20" s="78"/>
      <c r="P20" s="78"/>
      <c r="Q20" s="80"/>
      <c r="R20" s="78"/>
      <c r="S20" s="78"/>
      <c r="T20" s="78"/>
      <c r="U20" s="80"/>
      <c r="X20" s="78"/>
    </row>
    <row r="21" spans="2:25" x14ac:dyDescent="0.25">
      <c r="D21" s="49" t="s">
        <v>19</v>
      </c>
      <c r="E21" s="68"/>
      <c r="F21" s="337"/>
      <c r="G21" s="339"/>
      <c r="H21" s="340"/>
      <c r="I21" s="340"/>
      <c r="J21" s="340"/>
      <c r="K21" s="340"/>
      <c r="L21" s="341"/>
      <c r="M21" s="50"/>
      <c r="N21" s="433">
        <f>+O21</f>
        <v>1026.8</v>
      </c>
      <c r="O21" s="431">
        <f>765.5+261.3</f>
        <v>1026.8</v>
      </c>
      <c r="P21" s="429">
        <f>(951.92+1279.92+15.59+108.09+508.27+7.13)+(975.25+211.65+29.06)</f>
        <v>4086.8800000000006</v>
      </c>
      <c r="Q21" s="69"/>
      <c r="R21" s="433">
        <f>+S21</f>
        <v>108</v>
      </c>
      <c r="S21" s="431">
        <f>3+105</f>
        <v>108</v>
      </c>
      <c r="T21" s="429">
        <f>(128.34+122.16)+(4491.9+4275.6)</f>
        <v>9018</v>
      </c>
      <c r="U21" s="70"/>
      <c r="V21" s="349">
        <v>20006.45</v>
      </c>
      <c r="W21" s="348">
        <f t="shared" ref="W21:W26" si="5">+V21/10.6207</f>
        <v>1883.7223535171884</v>
      </c>
      <c r="X21" s="429">
        <v>63243.46</v>
      </c>
      <c r="Y21" s="414">
        <f>V21*X21/SUM(V21:V26)</f>
        <v>18062.658419673677</v>
      </c>
    </row>
    <row r="22" spans="2:25" x14ac:dyDescent="0.25">
      <c r="D22" s="49" t="s">
        <v>20</v>
      </c>
      <c r="E22" s="68"/>
      <c r="F22" s="71"/>
      <c r="G22" s="72"/>
      <c r="H22" s="322"/>
      <c r="I22" s="322"/>
      <c r="J22" s="322"/>
      <c r="K22" s="322"/>
      <c r="L22" s="320"/>
      <c r="M22" s="50"/>
      <c r="N22" s="433"/>
      <c r="O22" s="431"/>
      <c r="P22" s="429"/>
      <c r="Q22" s="69"/>
      <c r="R22" s="433"/>
      <c r="S22" s="431"/>
      <c r="T22" s="429"/>
      <c r="U22" s="69"/>
      <c r="V22" s="71">
        <v>19332.8</v>
      </c>
      <c r="W22" s="72">
        <f t="shared" si="5"/>
        <v>1820.2943308821452</v>
      </c>
      <c r="X22" s="429"/>
      <c r="Y22" s="414">
        <f>V22*X21/SUM(V21:V26)</f>
        <v>17454.459071742727</v>
      </c>
    </row>
    <row r="23" spans="2:25" x14ac:dyDescent="0.25">
      <c r="D23" s="49" t="s">
        <v>21</v>
      </c>
      <c r="E23" s="68"/>
      <c r="F23" s="71"/>
      <c r="G23" s="72"/>
      <c r="H23" s="322"/>
      <c r="I23" s="322"/>
      <c r="J23" s="322"/>
      <c r="K23" s="322"/>
      <c r="L23" s="320"/>
      <c r="M23" s="50"/>
      <c r="N23" s="433"/>
      <c r="O23" s="431"/>
      <c r="P23" s="429"/>
      <c r="Q23" s="69"/>
      <c r="R23" s="433"/>
      <c r="S23" s="431"/>
      <c r="T23" s="429"/>
      <c r="U23" s="69"/>
      <c r="V23" s="71">
        <v>16018</v>
      </c>
      <c r="W23" s="72">
        <f t="shared" si="5"/>
        <v>1508.1868426751532</v>
      </c>
      <c r="X23" s="429"/>
      <c r="Y23" s="414">
        <f>V23*X21/SUM(V21:V26)</f>
        <v>14461.71922386695</v>
      </c>
    </row>
    <row r="24" spans="2:25" x14ac:dyDescent="0.25">
      <c r="D24" s="49" t="s">
        <v>22</v>
      </c>
      <c r="E24" s="68"/>
      <c r="F24" s="71"/>
      <c r="G24" s="72"/>
      <c r="H24" s="322"/>
      <c r="I24" s="322"/>
      <c r="J24" s="322"/>
      <c r="K24" s="322"/>
      <c r="L24" s="320"/>
      <c r="M24" s="50"/>
      <c r="N24" s="434"/>
      <c r="O24" s="432"/>
      <c r="P24" s="435"/>
      <c r="Q24" s="69"/>
      <c r="R24" s="433"/>
      <c r="S24" s="431"/>
      <c r="T24" s="429"/>
      <c r="U24" s="69"/>
      <c r="V24" s="71">
        <v>9741.25</v>
      </c>
      <c r="W24" s="72">
        <f t="shared" si="5"/>
        <v>917.19472351163301</v>
      </c>
      <c r="X24" s="429"/>
      <c r="Y24" s="414">
        <f>V24*X21/SUM(V21:V26)</f>
        <v>8794.8072411970243</v>
      </c>
    </row>
    <row r="25" spans="2:25" x14ac:dyDescent="0.25">
      <c r="D25" s="49" t="s">
        <v>23</v>
      </c>
      <c r="E25" s="68"/>
      <c r="F25" s="71"/>
      <c r="G25" s="72"/>
      <c r="H25" s="322"/>
      <c r="I25" s="322"/>
      <c r="J25" s="322"/>
      <c r="K25" s="322"/>
      <c r="L25" s="320"/>
      <c r="M25" s="50"/>
      <c r="N25" s="433">
        <f>+O25</f>
        <v>1929.3</v>
      </c>
      <c r="O25" s="431">
        <f>1509.8+419.5</f>
        <v>1929.3</v>
      </c>
      <c r="P25" s="429">
        <f>(2108.09+2524.39+25.03+203.1+955+13.39)+(1923.49+339.8+54.6)</f>
        <v>8146.8899999999994</v>
      </c>
      <c r="Q25" s="69"/>
      <c r="R25" s="433"/>
      <c r="S25" s="431"/>
      <c r="T25" s="429"/>
      <c r="U25" s="69"/>
      <c r="V25" s="71">
        <v>3614.21</v>
      </c>
      <c r="W25" s="72">
        <f t="shared" si="5"/>
        <v>340.29866204675778</v>
      </c>
      <c r="X25" s="429"/>
      <c r="Y25" s="414">
        <f>V25*X21/SUM(V21:V26)</f>
        <v>3263.0596975959656</v>
      </c>
    </row>
    <row r="26" spans="2:25" x14ac:dyDescent="0.25">
      <c r="D26" s="49" t="s">
        <v>24</v>
      </c>
      <c r="E26" s="68"/>
      <c r="F26" s="71"/>
      <c r="G26" s="72"/>
      <c r="H26" s="322"/>
      <c r="I26" s="322"/>
      <c r="J26" s="322"/>
      <c r="K26" s="322"/>
      <c r="L26" s="320"/>
      <c r="M26" s="50"/>
      <c r="N26" s="433"/>
      <c r="O26" s="431"/>
      <c r="P26" s="429"/>
      <c r="Q26" s="69"/>
      <c r="R26" s="433"/>
      <c r="S26" s="431"/>
      <c r="T26" s="429"/>
      <c r="U26" s="69"/>
      <c r="V26" s="71">
        <v>1336.62</v>
      </c>
      <c r="W26" s="72">
        <f t="shared" si="5"/>
        <v>125.85046183396574</v>
      </c>
      <c r="X26" s="435"/>
      <c r="Y26" s="414">
        <f>V26*X21/SUM(V21:V26)</f>
        <v>1206.7563459236512</v>
      </c>
    </row>
    <row r="27" spans="2:25" x14ac:dyDescent="0.25">
      <c r="D27" s="49" t="s">
        <v>25</v>
      </c>
      <c r="E27" s="68"/>
      <c r="F27" s="71"/>
      <c r="G27" s="72"/>
      <c r="H27" s="322"/>
      <c r="I27" s="322"/>
      <c r="J27" s="322"/>
      <c r="K27" s="322"/>
      <c r="L27" s="320"/>
      <c r="M27" s="50"/>
      <c r="N27" s="433"/>
      <c r="O27" s="431"/>
      <c r="P27" s="429"/>
      <c r="Q27" s="69"/>
      <c r="R27" s="433"/>
      <c r="S27" s="431"/>
      <c r="T27" s="429"/>
      <c r="U27" s="69"/>
      <c r="V27" s="71">
        <f>160.36+268.64</f>
        <v>429</v>
      </c>
      <c r="W27" s="72">
        <f>160.36/10.6207+268.64/10.6761</f>
        <v>40.261563158082581</v>
      </c>
      <c r="X27" s="465">
        <f>700.04+3093.45+1712.02+49.4+15693.74</f>
        <v>21248.65</v>
      </c>
      <c r="Y27" s="415">
        <f>V27*X27/SUM(V27:V32)</f>
        <v>395.68785585954754</v>
      </c>
    </row>
    <row r="28" spans="2:25" x14ac:dyDescent="0.25">
      <c r="D28" s="49" t="s">
        <v>26</v>
      </c>
      <c r="E28" s="68"/>
      <c r="F28" s="71"/>
      <c r="G28" s="72"/>
      <c r="H28" s="322"/>
      <c r="I28" s="322"/>
      <c r="J28" s="322"/>
      <c r="K28" s="322"/>
      <c r="L28" s="320"/>
      <c r="M28" s="50"/>
      <c r="N28" s="433"/>
      <c r="O28" s="431"/>
      <c r="P28" s="429"/>
      <c r="Q28" s="69"/>
      <c r="R28" s="433"/>
      <c r="S28" s="431"/>
      <c r="T28" s="429"/>
      <c r="U28" s="69"/>
      <c r="V28" s="71">
        <v>376.09</v>
      </c>
      <c r="W28" s="72">
        <f t="shared" ref="W28:W32" si="6">+V28/10.6761</f>
        <v>35.227283371268534</v>
      </c>
      <c r="X28" s="466"/>
      <c r="Y28" s="415">
        <f>V28*X27/SUM(V27:V32)</f>
        <v>346.88635363686996</v>
      </c>
    </row>
    <row r="29" spans="2:25" x14ac:dyDescent="0.25">
      <c r="D29" s="49" t="s">
        <v>27</v>
      </c>
      <c r="E29" s="68"/>
      <c r="F29" s="71"/>
      <c r="G29" s="72"/>
      <c r="H29" s="322"/>
      <c r="I29" s="322"/>
      <c r="J29" s="322"/>
      <c r="K29" s="322"/>
      <c r="L29" s="320"/>
      <c r="M29" s="50"/>
      <c r="N29" s="433"/>
      <c r="O29" s="431"/>
      <c r="P29" s="429"/>
      <c r="Q29" s="69"/>
      <c r="R29" s="433"/>
      <c r="S29" s="431"/>
      <c r="T29" s="429"/>
      <c r="U29" s="69"/>
      <c r="V29" s="71">
        <v>1418.41</v>
      </c>
      <c r="W29" s="72">
        <f t="shared" si="6"/>
        <v>132.858440816403</v>
      </c>
      <c r="X29" s="466"/>
      <c r="Y29" s="415">
        <f>V29*X27/SUM(V27:V32)</f>
        <v>1308.2694909784168</v>
      </c>
    </row>
    <row r="30" spans="2:25" x14ac:dyDescent="0.25">
      <c r="D30" s="49" t="s">
        <v>28</v>
      </c>
      <c r="E30" s="68"/>
      <c r="F30" s="71"/>
      <c r="G30" s="72"/>
      <c r="H30" s="322"/>
      <c r="I30" s="322"/>
      <c r="J30" s="322"/>
      <c r="K30" s="322"/>
      <c r="L30" s="320"/>
      <c r="M30" s="50"/>
      <c r="N30" s="433"/>
      <c r="O30" s="431"/>
      <c r="P30" s="429"/>
      <c r="Q30" s="69"/>
      <c r="R30" s="433"/>
      <c r="S30" s="431"/>
      <c r="T30" s="429"/>
      <c r="U30" s="69"/>
      <c r="V30" s="71">
        <v>5265.29</v>
      </c>
      <c r="W30" s="72">
        <f t="shared" si="6"/>
        <v>493.18477721265253</v>
      </c>
      <c r="X30" s="466"/>
      <c r="Y30" s="415">
        <f>V30*X27/SUM(V27:V32)</f>
        <v>4856.43662139561</v>
      </c>
    </row>
    <row r="31" spans="2:25" x14ac:dyDescent="0.25">
      <c r="D31" s="49" t="s">
        <v>29</v>
      </c>
      <c r="E31" s="68"/>
      <c r="F31" s="71"/>
      <c r="G31" s="72"/>
      <c r="H31" s="322"/>
      <c r="I31" s="322"/>
      <c r="J31" s="322"/>
      <c r="K31" s="322"/>
      <c r="L31" s="320"/>
      <c r="M31" s="50"/>
      <c r="N31" s="433"/>
      <c r="O31" s="431"/>
      <c r="P31" s="429"/>
      <c r="Q31" s="69"/>
      <c r="R31" s="433"/>
      <c r="S31" s="431"/>
      <c r="T31" s="429"/>
      <c r="U31" s="69"/>
      <c r="V31" s="71">
        <v>6640.72</v>
      </c>
      <c r="W31" s="72">
        <f t="shared" si="6"/>
        <v>622.01740335890452</v>
      </c>
      <c r="X31" s="466"/>
      <c r="Y31" s="415">
        <f>V31*X27/SUM(V27:V32)</f>
        <v>6125.0635388429246</v>
      </c>
    </row>
    <row r="32" spans="2:25" x14ac:dyDescent="0.25">
      <c r="D32" s="49" t="s">
        <v>30</v>
      </c>
      <c r="E32" s="68"/>
      <c r="F32" s="73"/>
      <c r="G32" s="74"/>
      <c r="H32" s="323"/>
      <c r="I32" s="323"/>
      <c r="J32" s="323"/>
      <c r="K32" s="323"/>
      <c r="L32" s="321"/>
      <c r="M32" s="50"/>
      <c r="N32" s="447"/>
      <c r="O32" s="445"/>
      <c r="P32" s="430"/>
      <c r="Q32" s="50"/>
      <c r="R32" s="447"/>
      <c r="S32" s="445"/>
      <c r="T32" s="430"/>
      <c r="U32" s="69"/>
      <c r="V32" s="73">
        <v>8908.02</v>
      </c>
      <c r="W32" s="74">
        <f t="shared" si="6"/>
        <v>834.38896226150007</v>
      </c>
      <c r="X32" s="467"/>
      <c r="Y32" s="416">
        <f>V32*X27/SUM(V27:V32)</f>
        <v>8216.3061392866348</v>
      </c>
    </row>
    <row r="33" spans="2:25" x14ac:dyDescent="0.25">
      <c r="B33" s="52"/>
      <c r="C33" s="52"/>
      <c r="D33" s="53"/>
      <c r="E33" s="75"/>
      <c r="F33" s="54">
        <f>SUM(F21:F32)</f>
        <v>0</v>
      </c>
      <c r="G33" s="54">
        <f t="shared" ref="G33:L33" si="7">SUM(G21:G32)</f>
        <v>0</v>
      </c>
      <c r="H33" s="54">
        <f t="shared" si="7"/>
        <v>0</v>
      </c>
      <c r="I33" s="54">
        <f t="shared" si="7"/>
        <v>0</v>
      </c>
      <c r="J33" s="54">
        <f t="shared" si="7"/>
        <v>0</v>
      </c>
      <c r="K33" s="54">
        <f t="shared" si="7"/>
        <v>0</v>
      </c>
      <c r="L33" s="54">
        <f t="shared" si="7"/>
        <v>0</v>
      </c>
      <c r="M33" s="54"/>
      <c r="N33" s="54">
        <f>SUM(N21:N32)</f>
        <v>2956.1</v>
      </c>
      <c r="O33" s="54"/>
      <c r="P33" s="54">
        <f>SUM(P21:P32)</f>
        <v>12233.77</v>
      </c>
      <c r="Q33" s="54"/>
      <c r="R33" s="54">
        <f t="shared" ref="R33:T33" si="8">SUM(R21:R32)</f>
        <v>108</v>
      </c>
      <c r="S33" s="54"/>
      <c r="T33" s="54">
        <f t="shared" si="8"/>
        <v>9018</v>
      </c>
      <c r="U33" s="55"/>
      <c r="V33" s="54">
        <f t="shared" ref="V33:X33" si="9">SUM(V21:V32)</f>
        <v>93086.86</v>
      </c>
      <c r="W33" s="54">
        <f t="shared" si="9"/>
        <v>8753.4858046456575</v>
      </c>
      <c r="X33" s="54">
        <f t="shared" si="9"/>
        <v>84492.11</v>
      </c>
      <c r="Y33" s="91"/>
    </row>
    <row r="34" spans="2:25" ht="15.75" x14ac:dyDescent="0.25">
      <c r="B34" s="56">
        <f>B19+1</f>
        <v>2015</v>
      </c>
      <c r="C34" s="57"/>
      <c r="D34" s="58" t="s">
        <v>35</v>
      </c>
      <c r="E34" s="77"/>
      <c r="F34" s="59">
        <v>0.15</v>
      </c>
      <c r="G34" s="60">
        <f>G33*(1+F34)</f>
        <v>0</v>
      </c>
      <c r="H34" s="60"/>
      <c r="I34" s="60">
        <f>I33*(1+F34)</f>
        <v>0</v>
      </c>
      <c r="J34" s="61"/>
      <c r="K34" s="62"/>
      <c r="L34" s="60">
        <f>L33*(1+F34)</f>
        <v>0</v>
      </c>
      <c r="M34" s="51"/>
      <c r="N34" s="59">
        <v>0.21</v>
      </c>
      <c r="O34" s="59"/>
      <c r="P34" s="60">
        <f>P33*(1+N34)</f>
        <v>14802.861699999999</v>
      </c>
      <c r="Q34" s="51"/>
      <c r="R34" s="59">
        <v>0.15</v>
      </c>
      <c r="S34" s="59"/>
      <c r="T34" s="60">
        <f>T33*(1+R34)</f>
        <v>10370.699999999999</v>
      </c>
      <c r="U34" s="51"/>
      <c r="V34" s="59">
        <v>0.21</v>
      </c>
      <c r="W34" s="51"/>
      <c r="X34" s="60">
        <f>X33*(1+V34)</f>
        <v>102235.4531</v>
      </c>
      <c r="Y34" s="417"/>
    </row>
    <row r="35" spans="2:25" ht="3.75" customHeight="1" x14ac:dyDescent="0.25">
      <c r="F35" s="64"/>
      <c r="G35" s="78"/>
      <c r="H35" s="78"/>
      <c r="I35" s="78"/>
      <c r="J35" s="78"/>
      <c r="K35" s="78"/>
      <c r="L35" s="78"/>
      <c r="M35" s="80"/>
      <c r="N35" s="64"/>
      <c r="O35" s="78"/>
      <c r="P35" s="78"/>
      <c r="Q35" s="80"/>
      <c r="R35" s="78"/>
      <c r="S35" s="78"/>
      <c r="T35" s="78"/>
      <c r="U35" s="80"/>
      <c r="X35" s="78"/>
    </row>
    <row r="36" spans="2:25" x14ac:dyDescent="0.25">
      <c r="D36" s="49" t="s">
        <v>19</v>
      </c>
      <c r="E36" s="68"/>
      <c r="F36" s="337"/>
      <c r="G36" s="339"/>
      <c r="H36" s="339"/>
      <c r="I36" s="339"/>
      <c r="J36" s="82"/>
      <c r="K36" s="82"/>
      <c r="L36" s="83"/>
      <c r="M36" s="81"/>
      <c r="N36" s="433">
        <f>+O36</f>
        <v>1030.7</v>
      </c>
      <c r="O36" s="431">
        <f>777.2+253.5</f>
        <v>1030.7</v>
      </c>
      <c r="P36" s="429">
        <f>(977.42+1342.82+15.45+102.77+510.2+25.22)+(896.11+186.07+29.17)</f>
        <v>4085.2299999999996</v>
      </c>
      <c r="Q36" s="69"/>
      <c r="R36" s="433">
        <f>+S36</f>
        <v>141</v>
      </c>
      <c r="S36" s="431">
        <f>2+139</f>
        <v>141</v>
      </c>
      <c r="T36" s="429">
        <f>(86.4+84.04)+(6004.8+5840.78)</f>
        <v>12016.02</v>
      </c>
      <c r="U36" s="70"/>
      <c r="V36" s="349">
        <v>12507.75</v>
      </c>
      <c r="W36" s="410">
        <f t="shared" ref="W36:W42" si="10">+V36/10.6761</f>
        <v>1171.5654592969343</v>
      </c>
      <c r="X36" s="466">
        <f>1163.99+5278.3+2020.88+99.66+23165.78</f>
        <v>31728.61</v>
      </c>
      <c r="Y36" s="414">
        <f>V36*$X$36/$V$48</f>
        <v>10432.795405128523</v>
      </c>
    </row>
    <row r="37" spans="2:25" x14ac:dyDescent="0.25">
      <c r="D37" s="49" t="s">
        <v>20</v>
      </c>
      <c r="E37" s="68"/>
      <c r="F37" s="71"/>
      <c r="G37" s="72"/>
      <c r="H37" s="72"/>
      <c r="I37" s="72"/>
      <c r="J37" s="84"/>
      <c r="K37" s="84"/>
      <c r="L37" s="85"/>
      <c r="M37" s="81"/>
      <c r="N37" s="433"/>
      <c r="O37" s="431"/>
      <c r="P37" s="429"/>
      <c r="Q37" s="69"/>
      <c r="R37" s="433"/>
      <c r="S37" s="431"/>
      <c r="T37" s="429"/>
      <c r="U37" s="69"/>
      <c r="V37" s="71">
        <v>8445.9599999999991</v>
      </c>
      <c r="W37" s="72">
        <f t="shared" si="10"/>
        <v>791.10911287829822</v>
      </c>
      <c r="X37" s="466"/>
      <c r="Y37" s="414">
        <f t="shared" ref="Y37:Y42" si="11">V37*$X$36/$V$48</f>
        <v>7044.8300197796798</v>
      </c>
    </row>
    <row r="38" spans="2:25" x14ac:dyDescent="0.25">
      <c r="D38" s="49" t="s">
        <v>21</v>
      </c>
      <c r="E38" s="68"/>
      <c r="F38" s="71"/>
      <c r="G38" s="72"/>
      <c r="H38" s="72"/>
      <c r="I38" s="72"/>
      <c r="J38" s="84"/>
      <c r="K38" s="84"/>
      <c r="L38" s="85"/>
      <c r="M38" s="81"/>
      <c r="N38" s="433"/>
      <c r="O38" s="431"/>
      <c r="P38" s="429"/>
      <c r="Q38" s="69"/>
      <c r="R38" s="433"/>
      <c r="S38" s="431"/>
      <c r="T38" s="429"/>
      <c r="U38" s="69"/>
      <c r="V38" s="71">
        <v>9122.92</v>
      </c>
      <c r="W38" s="72">
        <f t="shared" si="10"/>
        <v>854.5180356122554</v>
      </c>
      <c r="X38" s="466"/>
      <c r="Y38" s="414">
        <f t="shared" si="11"/>
        <v>7609.486746805389</v>
      </c>
    </row>
    <row r="39" spans="2:25" x14ac:dyDescent="0.25">
      <c r="D39" s="49" t="s">
        <v>22</v>
      </c>
      <c r="E39" s="68"/>
      <c r="F39" s="71"/>
      <c r="G39" s="72"/>
      <c r="H39" s="72"/>
      <c r="I39" s="72"/>
      <c r="J39" s="84"/>
      <c r="K39" s="84"/>
      <c r="L39" s="85"/>
      <c r="M39" s="81"/>
      <c r="N39" s="434"/>
      <c r="O39" s="432"/>
      <c r="P39" s="435"/>
      <c r="Q39" s="69"/>
      <c r="R39" s="433"/>
      <c r="S39" s="431"/>
      <c r="T39" s="429"/>
      <c r="U39" s="69"/>
      <c r="V39" s="71">
        <v>5190.07</v>
      </c>
      <c r="W39" s="72">
        <f t="shared" si="10"/>
        <v>486.13913320407261</v>
      </c>
      <c r="X39" s="466"/>
      <c r="Y39" s="414">
        <f t="shared" si="11"/>
        <v>4329.0710518115084</v>
      </c>
    </row>
    <row r="40" spans="2:25" x14ac:dyDescent="0.25">
      <c r="D40" s="49" t="s">
        <v>23</v>
      </c>
      <c r="E40" s="68"/>
      <c r="F40" s="71"/>
      <c r="G40" s="72"/>
      <c r="H40" s="72"/>
      <c r="I40" s="72"/>
      <c r="J40" s="84"/>
      <c r="K40" s="84"/>
      <c r="L40" s="85"/>
      <c r="M40" s="81"/>
      <c r="N40" s="433">
        <f>+O40</f>
        <v>1909.3999999999999</v>
      </c>
      <c r="O40" s="431">
        <f>1494.6+414.8</f>
        <v>1909.3999999999999</v>
      </c>
      <c r="P40" s="429">
        <v>7961.26</v>
      </c>
      <c r="Q40" s="69"/>
      <c r="R40" s="433"/>
      <c r="S40" s="431"/>
      <c r="T40" s="429"/>
      <c r="U40" s="69"/>
      <c r="V40" s="71">
        <v>2170.59</v>
      </c>
      <c r="W40" s="72">
        <f t="shared" si="10"/>
        <v>203.31300755894009</v>
      </c>
      <c r="X40" s="466"/>
      <c r="Y40" s="414">
        <f t="shared" si="11"/>
        <v>1810.5031982904936</v>
      </c>
    </row>
    <row r="41" spans="2:25" x14ac:dyDescent="0.25">
      <c r="D41" s="49" t="s">
        <v>24</v>
      </c>
      <c r="E41" s="68"/>
      <c r="F41" s="71"/>
      <c r="G41" s="72"/>
      <c r="H41" s="72"/>
      <c r="I41" s="72"/>
      <c r="J41" s="84"/>
      <c r="K41" s="84"/>
      <c r="L41" s="85"/>
      <c r="M41" s="81"/>
      <c r="N41" s="433"/>
      <c r="O41" s="431"/>
      <c r="P41" s="429"/>
      <c r="Q41" s="69"/>
      <c r="R41" s="433"/>
      <c r="S41" s="431"/>
      <c r="T41" s="429"/>
      <c r="U41" s="69"/>
      <c r="V41" s="71">
        <v>451.31</v>
      </c>
      <c r="W41" s="72">
        <f t="shared" si="10"/>
        <v>42.272927379848447</v>
      </c>
      <c r="X41" s="466"/>
      <c r="Y41" s="414">
        <f t="shared" si="11"/>
        <v>376.44059837209358</v>
      </c>
    </row>
    <row r="42" spans="2:25" x14ac:dyDescent="0.25">
      <c r="D42" s="49" t="s">
        <v>25</v>
      </c>
      <c r="E42" s="68"/>
      <c r="F42" s="71"/>
      <c r="G42" s="72"/>
      <c r="H42" s="72"/>
      <c r="I42" s="72"/>
      <c r="J42" s="84"/>
      <c r="K42" s="84"/>
      <c r="L42" s="85"/>
      <c r="M42" s="81"/>
      <c r="N42" s="433"/>
      <c r="O42" s="431"/>
      <c r="P42" s="429"/>
      <c r="Q42" s="69"/>
      <c r="R42" s="433"/>
      <c r="S42" s="431"/>
      <c r="T42" s="429"/>
      <c r="U42" s="69"/>
      <c r="V42" s="71">
        <v>150.44</v>
      </c>
      <c r="W42" s="72">
        <f t="shared" si="10"/>
        <v>14.091288017159824</v>
      </c>
      <c r="X42" s="468"/>
      <c r="Y42" s="415">
        <f t="shared" si="11"/>
        <v>125.48297981231914</v>
      </c>
    </row>
    <row r="43" spans="2:25" x14ac:dyDescent="0.25">
      <c r="D43" s="49" t="s">
        <v>26</v>
      </c>
      <c r="E43" s="68"/>
      <c r="F43" s="71"/>
      <c r="G43" s="72"/>
      <c r="H43" s="72"/>
      <c r="I43" s="72"/>
      <c r="J43" s="84"/>
      <c r="K43" s="84"/>
      <c r="L43" s="85"/>
      <c r="M43" s="81"/>
      <c r="N43" s="433"/>
      <c r="O43" s="431"/>
      <c r="P43" s="429"/>
      <c r="Q43" s="69"/>
      <c r="R43" s="433"/>
      <c r="S43" s="431"/>
      <c r="T43" s="429"/>
      <c r="U43" s="69"/>
      <c r="V43" s="71"/>
      <c r="W43" s="72"/>
      <c r="X43" s="320"/>
      <c r="Y43" s="415"/>
    </row>
    <row r="44" spans="2:25" x14ac:dyDescent="0.25">
      <c r="D44" s="49" t="s">
        <v>27</v>
      </c>
      <c r="E44" s="68"/>
      <c r="F44" s="71"/>
      <c r="G44" s="72"/>
      <c r="H44" s="72"/>
      <c r="I44" s="72"/>
      <c r="J44" s="84"/>
      <c r="K44" s="84"/>
      <c r="L44" s="85"/>
      <c r="M44" s="81"/>
      <c r="N44" s="433"/>
      <c r="O44" s="431"/>
      <c r="P44" s="429"/>
      <c r="Q44" s="69"/>
      <c r="R44" s="433"/>
      <c r="S44" s="431"/>
      <c r="T44" s="429"/>
      <c r="U44" s="69"/>
      <c r="V44" s="71"/>
      <c r="W44" s="72"/>
      <c r="X44" s="320"/>
      <c r="Y44" s="415"/>
    </row>
    <row r="45" spans="2:25" x14ac:dyDescent="0.25">
      <c r="D45" s="49" t="s">
        <v>28</v>
      </c>
      <c r="E45" s="68"/>
      <c r="F45" s="71"/>
      <c r="G45" s="72"/>
      <c r="H45" s="72"/>
      <c r="I45" s="72"/>
      <c r="J45" s="84"/>
      <c r="K45" s="84"/>
      <c r="L45" s="85"/>
      <c r="M45" s="81"/>
      <c r="N45" s="433"/>
      <c r="O45" s="431"/>
      <c r="P45" s="429"/>
      <c r="Q45" s="69"/>
      <c r="R45" s="433"/>
      <c r="S45" s="431"/>
      <c r="T45" s="429"/>
      <c r="U45" s="69"/>
      <c r="V45" s="71"/>
      <c r="W45" s="72"/>
      <c r="X45" s="320"/>
      <c r="Y45" s="415"/>
    </row>
    <row r="46" spans="2:25" x14ac:dyDescent="0.25">
      <c r="D46" s="49" t="s">
        <v>29</v>
      </c>
      <c r="E46" s="68"/>
      <c r="F46" s="71"/>
      <c r="G46" s="72"/>
      <c r="H46" s="72"/>
      <c r="I46" s="72"/>
      <c r="J46" s="84"/>
      <c r="K46" s="84"/>
      <c r="L46" s="85"/>
      <c r="M46" s="81"/>
      <c r="N46" s="433"/>
      <c r="O46" s="431"/>
      <c r="P46" s="429"/>
      <c r="Q46" s="69"/>
      <c r="R46" s="433"/>
      <c r="S46" s="431"/>
      <c r="T46" s="429"/>
      <c r="U46" s="69"/>
      <c r="V46" s="71"/>
      <c r="W46" s="72"/>
      <c r="X46" s="320"/>
      <c r="Y46" s="415"/>
    </row>
    <row r="47" spans="2:25" x14ac:dyDescent="0.25">
      <c r="D47" s="49" t="s">
        <v>30</v>
      </c>
      <c r="E47" s="68"/>
      <c r="F47" s="73"/>
      <c r="G47" s="74"/>
      <c r="H47" s="74"/>
      <c r="I47" s="74"/>
      <c r="J47" s="86"/>
      <c r="K47" s="86"/>
      <c r="L47" s="87"/>
      <c r="M47" s="81"/>
      <c r="N47" s="447"/>
      <c r="O47" s="445"/>
      <c r="P47" s="430"/>
      <c r="Q47" s="50"/>
      <c r="R47" s="447"/>
      <c r="S47" s="445"/>
      <c r="T47" s="430"/>
      <c r="U47" s="69"/>
      <c r="V47" s="73"/>
      <c r="W47" s="74"/>
      <c r="X47" s="321"/>
      <c r="Y47" s="416"/>
    </row>
    <row r="48" spans="2:25" x14ac:dyDescent="0.25">
      <c r="B48" s="52"/>
      <c r="C48" s="52"/>
      <c r="D48" s="53"/>
      <c r="E48" s="75"/>
      <c r="F48" s="54">
        <f>SUM(F36:F47)</f>
        <v>0</v>
      </c>
      <c r="G48" s="54">
        <f t="shared" ref="G48:L48" si="12">SUM(G36:G47)</f>
        <v>0</v>
      </c>
      <c r="H48" s="54">
        <f t="shared" si="12"/>
        <v>0</v>
      </c>
      <c r="I48" s="54">
        <f t="shared" si="12"/>
        <v>0</v>
      </c>
      <c r="J48" s="54">
        <f t="shared" si="12"/>
        <v>0</v>
      </c>
      <c r="K48" s="54">
        <f t="shared" si="12"/>
        <v>0</v>
      </c>
      <c r="L48" s="54">
        <f t="shared" si="12"/>
        <v>0</v>
      </c>
      <c r="M48" s="54"/>
      <c r="N48" s="54">
        <f>SUM(N36:N47)</f>
        <v>2940.1</v>
      </c>
      <c r="O48" s="54"/>
      <c r="P48" s="54">
        <f>SUM(P36:P47)</f>
        <v>12046.49</v>
      </c>
      <c r="Q48" s="54"/>
      <c r="R48" s="54">
        <f t="shared" ref="R48:T48" si="13">SUM(R36:R47)</f>
        <v>141</v>
      </c>
      <c r="S48" s="54"/>
      <c r="T48" s="54">
        <f t="shared" si="13"/>
        <v>12016.02</v>
      </c>
      <c r="U48" s="55"/>
      <c r="V48" s="54">
        <f t="shared" ref="V48:X48" si="14">SUM(V36:V47)</f>
        <v>38039.039999999994</v>
      </c>
      <c r="W48" s="54">
        <f t="shared" si="14"/>
        <v>3563.0089639475091</v>
      </c>
      <c r="X48" s="54">
        <f t="shared" si="14"/>
        <v>31728.61</v>
      </c>
      <c r="Y48" s="91"/>
    </row>
    <row r="49" spans="1:25" ht="15.75" x14ac:dyDescent="0.25">
      <c r="B49" s="56">
        <f>B34+1</f>
        <v>2016</v>
      </c>
      <c r="C49" s="57"/>
      <c r="D49" s="58" t="s">
        <v>35</v>
      </c>
      <c r="E49" s="77"/>
      <c r="F49" s="59">
        <v>0.15</v>
      </c>
      <c r="G49" s="60">
        <f>G48*(1+F49)</f>
        <v>0</v>
      </c>
      <c r="H49" s="60"/>
      <c r="I49" s="60">
        <f>I48*(1+F49)</f>
        <v>0</v>
      </c>
      <c r="J49" s="61"/>
      <c r="K49" s="62"/>
      <c r="L49" s="60">
        <f>L48*(1+F49)</f>
        <v>0</v>
      </c>
      <c r="M49" s="51"/>
      <c r="N49" s="59">
        <v>0.21</v>
      </c>
      <c r="O49" s="59"/>
      <c r="P49" s="60">
        <f>P48*(1+N49)</f>
        <v>14576.252899999999</v>
      </c>
      <c r="Q49" s="51"/>
      <c r="R49" s="59">
        <v>0.15</v>
      </c>
      <c r="S49" s="59"/>
      <c r="T49" s="60">
        <f>T48*(1+R49)</f>
        <v>13818.422999999999</v>
      </c>
      <c r="U49" s="51"/>
      <c r="V49" s="59">
        <v>0.21</v>
      </c>
      <c r="W49" s="51"/>
      <c r="X49" s="60">
        <f>X48*(1+V49)</f>
        <v>38391.6181</v>
      </c>
      <c r="Y49" s="417"/>
    </row>
    <row r="51" spans="1:25" x14ac:dyDescent="0.25">
      <c r="B51" s="41" t="s">
        <v>36</v>
      </c>
      <c r="P51" s="43"/>
      <c r="Q51" s="88"/>
      <c r="R51" s="43"/>
      <c r="S51" s="43"/>
      <c r="T51" s="43"/>
      <c r="U51" s="88"/>
      <c r="V51" s="43"/>
      <c r="W51" s="43"/>
      <c r="X51" s="43"/>
    </row>
    <row r="52" spans="1:25" x14ac:dyDescent="0.25">
      <c r="B52" s="89" t="s">
        <v>198</v>
      </c>
    </row>
    <row r="53" spans="1:25" x14ac:dyDescent="0.25">
      <c r="B53" s="89" t="s">
        <v>200</v>
      </c>
    </row>
    <row r="54" spans="1:25" x14ac:dyDescent="0.25">
      <c r="B54" s="329" t="s">
        <v>206</v>
      </c>
    </row>
    <row r="55" spans="1:25" x14ac:dyDescent="0.25">
      <c r="A55" s="89"/>
      <c r="B55" s="89"/>
    </row>
    <row r="56" spans="1:25" x14ac:dyDescent="0.25">
      <c r="B56" s="89"/>
    </row>
    <row r="57" spans="1:25" x14ac:dyDescent="0.25">
      <c r="B57" s="91"/>
    </row>
    <row r="58" spans="1:25" x14ac:dyDescent="0.25">
      <c r="B58" s="91"/>
    </row>
    <row r="59" spans="1:25" x14ac:dyDescent="0.25">
      <c r="B59" s="91"/>
    </row>
    <row r="60" spans="1:25" x14ac:dyDescent="0.25">
      <c r="B60" s="91"/>
    </row>
    <row r="61" spans="1:25" x14ac:dyDescent="0.25">
      <c r="B61" s="91"/>
    </row>
  </sheetData>
  <mergeCells count="43">
    <mergeCell ref="T36:T47"/>
    <mergeCell ref="X36:X42"/>
    <mergeCell ref="N40:N47"/>
    <mergeCell ref="O40:O47"/>
    <mergeCell ref="P40:P47"/>
    <mergeCell ref="N36:N39"/>
    <mergeCell ref="O36:O39"/>
    <mergeCell ref="P36:P39"/>
    <mergeCell ref="R36:R47"/>
    <mergeCell ref="S36:S47"/>
    <mergeCell ref="X21:X26"/>
    <mergeCell ref="N25:N32"/>
    <mergeCell ref="O25:O32"/>
    <mergeCell ref="P25:P32"/>
    <mergeCell ref="X27:X32"/>
    <mergeCell ref="N21:N24"/>
    <mergeCell ref="O21:O24"/>
    <mergeCell ref="P21:P24"/>
    <mergeCell ref="R21:R32"/>
    <mergeCell ref="S21:S32"/>
    <mergeCell ref="T21:T32"/>
    <mergeCell ref="T6:T17"/>
    <mergeCell ref="X6:X11"/>
    <mergeCell ref="N10:N17"/>
    <mergeCell ref="O10:O17"/>
    <mergeCell ref="P10:P17"/>
    <mergeCell ref="X12:X17"/>
    <mergeCell ref="N6:N9"/>
    <mergeCell ref="O6:O9"/>
    <mergeCell ref="P6:P9"/>
    <mergeCell ref="R6:R17"/>
    <mergeCell ref="S6:S17"/>
    <mergeCell ref="V3:Y3"/>
    <mergeCell ref="D2:D4"/>
    <mergeCell ref="F2:L2"/>
    <mergeCell ref="N2:P2"/>
    <mergeCell ref="R2:T2"/>
    <mergeCell ref="F3:G3"/>
    <mergeCell ref="H3:I3"/>
    <mergeCell ref="J3:L3"/>
    <mergeCell ref="N3:P3"/>
    <mergeCell ref="R3:T3"/>
    <mergeCell ref="V2:Y2"/>
  </mergeCells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BG61"/>
  <sheetViews>
    <sheetView tabSelected="1" zoomScaleNormal="100" workbookViewId="0">
      <pane ySplit="4" topLeftCell="A5" activePane="bottomLeft" state="frozen"/>
      <selection pane="bottomLeft" activeCell="G3" sqref="G3:H3"/>
    </sheetView>
  </sheetViews>
  <sheetFormatPr defaultColWidth="10.140625" defaultRowHeight="15" outlineLevelCol="1" x14ac:dyDescent="0.25"/>
  <cols>
    <col min="1" max="1" width="1" style="40" customWidth="1"/>
    <col min="2" max="2" width="12" style="40" customWidth="1"/>
    <col min="3" max="3" width="10.140625" style="40"/>
    <col min="4" max="4" width="14" style="40" customWidth="1"/>
    <col min="5" max="5" width="3.140625" style="42" customWidth="1"/>
    <col min="6" max="6" width="12.7109375" style="40" customWidth="1"/>
    <col min="7" max="52" width="12.7109375" style="40" customWidth="1" outlineLevel="1"/>
    <col min="53" max="53" width="12.7109375" style="40" customWidth="1"/>
    <col min="54" max="54" width="3.28515625" style="42" customWidth="1"/>
    <col min="55" max="57" width="14" style="40" hidden="1" customWidth="1" outlineLevel="1"/>
    <col min="58" max="58" width="14" style="40" customWidth="1" collapsed="1"/>
    <col min="59" max="59" width="3.28515625" style="42" customWidth="1"/>
    <col min="60" max="300" width="10.140625" style="40"/>
    <col min="301" max="313" width="14" style="40" customWidth="1"/>
    <col min="314" max="556" width="10.140625" style="40"/>
    <col min="557" max="569" width="14" style="40" customWidth="1"/>
    <col min="570" max="812" width="10.140625" style="40"/>
    <col min="813" max="825" width="14" style="40" customWidth="1"/>
    <col min="826" max="1068" width="10.140625" style="40"/>
    <col min="1069" max="1081" width="14" style="40" customWidth="1"/>
    <col min="1082" max="1324" width="10.140625" style="40"/>
    <col min="1325" max="1337" width="14" style="40" customWidth="1"/>
    <col min="1338" max="1580" width="10.140625" style="40"/>
    <col min="1581" max="1593" width="14" style="40" customWidth="1"/>
    <col min="1594" max="1836" width="10.140625" style="40"/>
    <col min="1837" max="1849" width="14" style="40" customWidth="1"/>
    <col min="1850" max="2092" width="10.140625" style="40"/>
    <col min="2093" max="2105" width="14" style="40" customWidth="1"/>
    <col min="2106" max="2348" width="10.140625" style="40"/>
    <col min="2349" max="2361" width="14" style="40" customWidth="1"/>
    <col min="2362" max="2604" width="10.140625" style="40"/>
    <col min="2605" max="2617" width="14" style="40" customWidth="1"/>
    <col min="2618" max="2860" width="10.140625" style="40"/>
    <col min="2861" max="2873" width="14" style="40" customWidth="1"/>
    <col min="2874" max="3116" width="10.140625" style="40"/>
    <col min="3117" max="3129" width="14" style="40" customWidth="1"/>
    <col min="3130" max="3372" width="10.140625" style="40"/>
    <col min="3373" max="3385" width="14" style="40" customWidth="1"/>
    <col min="3386" max="3628" width="10.140625" style="40"/>
    <col min="3629" max="3641" width="14" style="40" customWidth="1"/>
    <col min="3642" max="3884" width="10.140625" style="40"/>
    <col min="3885" max="3897" width="14" style="40" customWidth="1"/>
    <col min="3898" max="4140" width="10.140625" style="40"/>
    <col min="4141" max="4153" width="14" style="40" customWidth="1"/>
    <col min="4154" max="4396" width="10.140625" style="40"/>
    <col min="4397" max="4409" width="14" style="40" customWidth="1"/>
    <col min="4410" max="4652" width="10.140625" style="40"/>
    <col min="4653" max="4665" width="14" style="40" customWidth="1"/>
    <col min="4666" max="4908" width="10.140625" style="40"/>
    <col min="4909" max="4921" width="14" style="40" customWidth="1"/>
    <col min="4922" max="5164" width="10.140625" style="40"/>
    <col min="5165" max="5177" width="14" style="40" customWidth="1"/>
    <col min="5178" max="5420" width="10.140625" style="40"/>
    <col min="5421" max="5433" width="14" style="40" customWidth="1"/>
    <col min="5434" max="5676" width="10.140625" style="40"/>
    <col min="5677" max="5689" width="14" style="40" customWidth="1"/>
    <col min="5690" max="5932" width="10.140625" style="40"/>
    <col min="5933" max="5945" width="14" style="40" customWidth="1"/>
    <col min="5946" max="6188" width="10.140625" style="40"/>
    <col min="6189" max="6201" width="14" style="40" customWidth="1"/>
    <col min="6202" max="6444" width="10.140625" style="40"/>
    <col min="6445" max="6457" width="14" style="40" customWidth="1"/>
    <col min="6458" max="6700" width="10.140625" style="40"/>
    <col min="6701" max="6713" width="14" style="40" customWidth="1"/>
    <col min="6714" max="6956" width="10.140625" style="40"/>
    <col min="6957" max="6969" width="14" style="40" customWidth="1"/>
    <col min="6970" max="7212" width="10.140625" style="40"/>
    <col min="7213" max="7225" width="14" style="40" customWidth="1"/>
    <col min="7226" max="7468" width="10.140625" style="40"/>
    <col min="7469" max="7481" width="14" style="40" customWidth="1"/>
    <col min="7482" max="7724" width="10.140625" style="40"/>
    <col min="7725" max="7737" width="14" style="40" customWidth="1"/>
    <col min="7738" max="7980" width="10.140625" style="40"/>
    <col min="7981" max="7993" width="14" style="40" customWidth="1"/>
    <col min="7994" max="8236" width="10.140625" style="40"/>
    <col min="8237" max="8249" width="14" style="40" customWidth="1"/>
    <col min="8250" max="8492" width="10.140625" style="40"/>
    <col min="8493" max="8505" width="14" style="40" customWidth="1"/>
    <col min="8506" max="8748" width="10.140625" style="40"/>
    <col min="8749" max="8761" width="14" style="40" customWidth="1"/>
    <col min="8762" max="9004" width="10.140625" style="40"/>
    <col min="9005" max="9017" width="14" style="40" customWidth="1"/>
    <col min="9018" max="9260" width="10.140625" style="40"/>
    <col min="9261" max="9273" width="14" style="40" customWidth="1"/>
    <col min="9274" max="9516" width="10.140625" style="40"/>
    <col min="9517" max="9529" width="14" style="40" customWidth="1"/>
    <col min="9530" max="9772" width="10.140625" style="40"/>
    <col min="9773" max="9785" width="14" style="40" customWidth="1"/>
    <col min="9786" max="10028" width="10.140625" style="40"/>
    <col min="10029" max="10041" width="14" style="40" customWidth="1"/>
    <col min="10042" max="10284" width="10.140625" style="40"/>
    <col min="10285" max="10297" width="14" style="40" customWidth="1"/>
    <col min="10298" max="10540" width="10.140625" style="40"/>
    <col min="10541" max="10553" width="14" style="40" customWidth="1"/>
    <col min="10554" max="10796" width="10.140625" style="40"/>
    <col min="10797" max="10809" width="14" style="40" customWidth="1"/>
    <col min="10810" max="11052" width="10.140625" style="40"/>
    <col min="11053" max="11065" width="14" style="40" customWidth="1"/>
    <col min="11066" max="11308" width="10.140625" style="40"/>
    <col min="11309" max="11321" width="14" style="40" customWidth="1"/>
    <col min="11322" max="11564" width="10.140625" style="40"/>
    <col min="11565" max="11577" width="14" style="40" customWidth="1"/>
    <col min="11578" max="11820" width="10.140625" style="40"/>
    <col min="11821" max="11833" width="14" style="40" customWidth="1"/>
    <col min="11834" max="12076" width="10.140625" style="40"/>
    <col min="12077" max="12089" width="14" style="40" customWidth="1"/>
    <col min="12090" max="12332" width="10.140625" style="40"/>
    <col min="12333" max="12345" width="14" style="40" customWidth="1"/>
    <col min="12346" max="12588" width="10.140625" style="40"/>
    <col min="12589" max="12601" width="14" style="40" customWidth="1"/>
    <col min="12602" max="12844" width="10.140625" style="40"/>
    <col min="12845" max="12857" width="14" style="40" customWidth="1"/>
    <col min="12858" max="13100" width="10.140625" style="40"/>
    <col min="13101" max="13113" width="14" style="40" customWidth="1"/>
    <col min="13114" max="13356" width="10.140625" style="40"/>
    <col min="13357" max="13369" width="14" style="40" customWidth="1"/>
    <col min="13370" max="13612" width="10.140625" style="40"/>
    <col min="13613" max="13625" width="14" style="40" customWidth="1"/>
    <col min="13626" max="13868" width="10.140625" style="40"/>
    <col min="13869" max="13881" width="14" style="40" customWidth="1"/>
    <col min="13882" max="14124" width="10.140625" style="40"/>
    <col min="14125" max="14137" width="14" style="40" customWidth="1"/>
    <col min="14138" max="14380" width="10.140625" style="40"/>
    <col min="14381" max="14393" width="14" style="40" customWidth="1"/>
    <col min="14394" max="14636" width="10.140625" style="40"/>
    <col min="14637" max="14649" width="14" style="40" customWidth="1"/>
    <col min="14650" max="14892" width="10.140625" style="40"/>
    <col min="14893" max="14905" width="14" style="40" customWidth="1"/>
    <col min="14906" max="15148" width="10.140625" style="40"/>
    <col min="15149" max="15161" width="14" style="40" customWidth="1"/>
    <col min="15162" max="15404" width="10.140625" style="40"/>
    <col min="15405" max="15417" width="14" style="40" customWidth="1"/>
    <col min="15418" max="15660" width="10.140625" style="40"/>
    <col min="15661" max="15673" width="14" style="40" customWidth="1"/>
    <col min="15674" max="15916" width="10.140625" style="40"/>
    <col min="15917" max="15929" width="14" style="40" customWidth="1"/>
    <col min="15930" max="16172" width="10.140625" style="40"/>
    <col min="16173" max="16185" width="14" style="40" customWidth="1"/>
    <col min="16186" max="16384" width="10.140625" style="40"/>
  </cols>
  <sheetData>
    <row r="1" spans="2:59" ht="4.5" customHeight="1" x14ac:dyDescent="0.25"/>
    <row r="2" spans="2:59" ht="15" customHeight="1" x14ac:dyDescent="0.25">
      <c r="B2" s="43" t="s">
        <v>34</v>
      </c>
      <c r="C2" s="41"/>
      <c r="D2" s="448" t="s">
        <v>32</v>
      </c>
      <c r="E2" s="40"/>
      <c r="F2" s="451" t="s">
        <v>5</v>
      </c>
      <c r="G2" s="451"/>
      <c r="H2" s="451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451"/>
      <c r="U2" s="451"/>
      <c r="V2" s="451"/>
      <c r="W2" s="451"/>
      <c r="X2" s="451"/>
      <c r="Y2" s="451"/>
      <c r="Z2" s="451"/>
      <c r="AA2" s="451"/>
      <c r="AB2" s="451"/>
      <c r="AC2" s="451"/>
      <c r="AD2" s="451"/>
      <c r="AE2" s="451"/>
      <c r="AF2" s="451"/>
      <c r="AG2" s="451"/>
      <c r="AH2" s="451"/>
      <c r="AI2" s="451"/>
      <c r="AJ2" s="451"/>
      <c r="AK2" s="451"/>
      <c r="AL2" s="451"/>
      <c r="AM2" s="451"/>
      <c r="AN2" s="451"/>
      <c r="AO2" s="451"/>
      <c r="AP2" s="451"/>
      <c r="AQ2" s="451"/>
      <c r="AR2" s="451"/>
      <c r="AS2" s="451"/>
      <c r="AT2" s="451"/>
      <c r="AU2" s="451"/>
      <c r="AV2" s="451"/>
      <c r="AW2" s="451"/>
      <c r="AX2" s="451"/>
      <c r="AY2" s="451"/>
      <c r="AZ2" s="451"/>
      <c r="BA2" s="451"/>
      <c r="BB2" s="44"/>
      <c r="BC2" s="472" t="s">
        <v>16</v>
      </c>
      <c r="BD2" s="472"/>
      <c r="BE2" s="472"/>
      <c r="BF2" s="472"/>
      <c r="BG2" s="40"/>
    </row>
    <row r="3" spans="2:59" ht="39" customHeight="1" x14ac:dyDescent="0.25">
      <c r="B3" s="45" t="str">
        <f ca="1">MID(CELL("filename",A8),FIND("]",CELL("filename",A8))+1,LEN(CELL("filename",A8))-FIND("]",CELL("filename",A8)))</f>
        <v>07 VO</v>
      </c>
      <c r="C3" s="41"/>
      <c r="D3" s="448"/>
      <c r="E3" s="40"/>
      <c r="F3" s="426"/>
      <c r="G3" s="455" t="s">
        <v>245</v>
      </c>
      <c r="H3" s="455"/>
      <c r="I3" s="455" t="s">
        <v>245</v>
      </c>
      <c r="J3" s="455"/>
      <c r="K3" s="455" t="s">
        <v>244</v>
      </c>
      <c r="L3" s="455"/>
      <c r="M3" s="455" t="s">
        <v>245</v>
      </c>
      <c r="N3" s="455"/>
      <c r="O3" s="455" t="s">
        <v>245</v>
      </c>
      <c r="P3" s="455"/>
      <c r="Q3" s="455" t="s">
        <v>243</v>
      </c>
      <c r="R3" s="455"/>
      <c r="S3" s="455" t="s">
        <v>242</v>
      </c>
      <c r="T3" s="455"/>
      <c r="U3" s="455" t="s">
        <v>246</v>
      </c>
      <c r="V3" s="455"/>
      <c r="W3" s="455" t="s">
        <v>241</v>
      </c>
      <c r="X3" s="455"/>
      <c r="Y3" s="455" t="s">
        <v>240</v>
      </c>
      <c r="Z3" s="455"/>
      <c r="AA3" s="455" t="s">
        <v>242</v>
      </c>
      <c r="AB3" s="455"/>
      <c r="AC3" s="455" t="s">
        <v>246</v>
      </c>
      <c r="AD3" s="455"/>
      <c r="AE3" s="455" t="s">
        <v>239</v>
      </c>
      <c r="AF3" s="455"/>
      <c r="AG3" s="455" t="s">
        <v>247</v>
      </c>
      <c r="AH3" s="455"/>
      <c r="AI3" s="455" t="s">
        <v>248</v>
      </c>
      <c r="AJ3" s="455"/>
      <c r="AK3" s="455" t="s">
        <v>248</v>
      </c>
      <c r="AL3" s="455"/>
      <c r="AM3" s="455" t="s">
        <v>247</v>
      </c>
      <c r="AN3" s="455"/>
      <c r="AO3" s="455" t="s">
        <v>249</v>
      </c>
      <c r="AP3" s="455"/>
      <c r="AQ3" s="455" t="s">
        <v>249</v>
      </c>
      <c r="AR3" s="455"/>
      <c r="AS3" s="455" t="s">
        <v>250</v>
      </c>
      <c r="AT3" s="455"/>
      <c r="AU3" s="455" t="s">
        <v>236</v>
      </c>
      <c r="AV3" s="455"/>
      <c r="AW3" s="455" t="s">
        <v>237</v>
      </c>
      <c r="AX3" s="455"/>
      <c r="AY3" s="455" t="s">
        <v>238</v>
      </c>
      <c r="AZ3" s="455"/>
      <c r="BA3" s="426"/>
      <c r="BB3" s="46"/>
      <c r="BC3" s="472"/>
      <c r="BD3" s="472"/>
      <c r="BE3" s="472"/>
      <c r="BF3" s="472"/>
      <c r="BG3" s="40"/>
    </row>
    <row r="4" spans="2:59" ht="30" customHeight="1" x14ac:dyDescent="0.25">
      <c r="B4" s="47"/>
      <c r="C4" s="47"/>
      <c r="D4" s="449"/>
      <c r="E4" s="40"/>
      <c r="F4" s="328" t="s">
        <v>2</v>
      </c>
      <c r="G4" s="469" t="s">
        <v>169</v>
      </c>
      <c r="H4" s="460"/>
      <c r="I4" s="469" t="s">
        <v>170</v>
      </c>
      <c r="J4" s="460"/>
      <c r="K4" s="469" t="s">
        <v>171</v>
      </c>
      <c r="L4" s="460"/>
      <c r="M4" s="469" t="s">
        <v>172</v>
      </c>
      <c r="N4" s="460"/>
      <c r="O4" s="469" t="s">
        <v>173</v>
      </c>
      <c r="P4" s="460"/>
      <c r="Q4" s="469" t="s">
        <v>174</v>
      </c>
      <c r="R4" s="460"/>
      <c r="S4" s="469" t="s">
        <v>175</v>
      </c>
      <c r="T4" s="460"/>
      <c r="U4" s="469" t="s">
        <v>176</v>
      </c>
      <c r="V4" s="460"/>
      <c r="W4" s="469" t="s">
        <v>177</v>
      </c>
      <c r="X4" s="460"/>
      <c r="Y4" s="469" t="s">
        <v>178</v>
      </c>
      <c r="Z4" s="460"/>
      <c r="AA4" s="469" t="s">
        <v>179</v>
      </c>
      <c r="AB4" s="460"/>
      <c r="AC4" s="469" t="s">
        <v>180</v>
      </c>
      <c r="AD4" s="460"/>
      <c r="AE4" s="469" t="s">
        <v>181</v>
      </c>
      <c r="AF4" s="460"/>
      <c r="AG4" s="469" t="s">
        <v>182</v>
      </c>
      <c r="AH4" s="460"/>
      <c r="AI4" s="469" t="s">
        <v>183</v>
      </c>
      <c r="AJ4" s="460"/>
      <c r="AK4" s="469" t="s">
        <v>189</v>
      </c>
      <c r="AL4" s="460"/>
      <c r="AM4" s="469" t="s">
        <v>184</v>
      </c>
      <c r="AN4" s="460"/>
      <c r="AO4" s="469" t="s">
        <v>185</v>
      </c>
      <c r="AP4" s="460"/>
      <c r="AQ4" s="469" t="s">
        <v>186</v>
      </c>
      <c r="AR4" s="460"/>
      <c r="AS4" s="469" t="s">
        <v>187</v>
      </c>
      <c r="AT4" s="460"/>
      <c r="AU4" s="469" t="s">
        <v>188</v>
      </c>
      <c r="AV4" s="460"/>
      <c r="AW4" s="469" t="s">
        <v>190</v>
      </c>
      <c r="AX4" s="460"/>
      <c r="AY4" s="469" t="s">
        <v>191</v>
      </c>
      <c r="AZ4" s="460"/>
      <c r="BA4" s="36" t="s">
        <v>8</v>
      </c>
      <c r="BB4" s="48"/>
      <c r="BC4" s="359"/>
      <c r="BD4" s="359"/>
      <c r="BE4" s="359"/>
      <c r="BF4" s="37" t="s">
        <v>8</v>
      </c>
      <c r="BG4" s="40"/>
    </row>
    <row r="5" spans="2:59" ht="4.5" customHeight="1" x14ac:dyDescent="0.25">
      <c r="D5" s="63"/>
      <c r="E5" s="79"/>
    </row>
    <row r="6" spans="2:59" x14ac:dyDescent="0.25">
      <c r="B6" s="41"/>
      <c r="C6" s="41"/>
      <c r="D6" s="49" t="s">
        <v>19</v>
      </c>
      <c r="E6" s="68"/>
      <c r="F6" s="433">
        <f>SUM(G6:G17,I6:I17,K6:K17,M6:M17,O6:O17,Q6:Q17,S6:S17,U6:U17,W6:W17,Y6:Y17,AA6:AA17,AC6:AC17,AE6:AE17,AG6:AG17,AI6:AI17,AK6:AK17,AM6:AM17,AO6:AO17,AQ6:AQ17,AS6:AS17,AU6:AU17,AW6:AW17,AY6:AY17)</f>
        <v>424224.00000000006</v>
      </c>
      <c r="G6" s="431">
        <v>1540</v>
      </c>
      <c r="H6" s="350"/>
      <c r="I6" s="431">
        <v>4429.5</v>
      </c>
      <c r="J6" s="350"/>
      <c r="K6" s="431">
        <v>13486.7</v>
      </c>
      <c r="L6" s="351"/>
      <c r="M6" s="431">
        <v>4987.2</v>
      </c>
      <c r="N6" s="351"/>
      <c r="O6" s="431">
        <v>737</v>
      </c>
      <c r="P6" s="351"/>
      <c r="Q6" s="431">
        <v>797.1</v>
      </c>
      <c r="R6" s="351"/>
      <c r="S6" s="431">
        <v>22956</v>
      </c>
      <c r="T6" s="351"/>
      <c r="U6" s="431">
        <v>2</v>
      </c>
      <c r="V6" s="351"/>
      <c r="W6" s="431">
        <v>3504.5</v>
      </c>
      <c r="X6" s="351"/>
      <c r="Y6" s="431">
        <v>7334.8</v>
      </c>
      <c r="Z6" s="351"/>
      <c r="AA6" s="431">
        <f>238.1+4965</f>
        <v>5203.1000000000004</v>
      </c>
      <c r="AB6" s="351"/>
      <c r="AC6" s="431">
        <v>14269.9</v>
      </c>
      <c r="AD6" s="351"/>
      <c r="AE6" s="431">
        <v>4686</v>
      </c>
      <c r="AF6" s="351"/>
      <c r="AG6" s="431">
        <v>2888</v>
      </c>
      <c r="AH6" s="351"/>
      <c r="AI6" s="431">
        <v>13913.2</v>
      </c>
      <c r="AJ6" s="351"/>
      <c r="AK6" s="431">
        <v>1250</v>
      </c>
      <c r="AL6" s="351"/>
      <c r="AM6" s="431">
        <v>11200</v>
      </c>
      <c r="AN6" s="351"/>
      <c r="AO6" s="431">
        <v>8313.4</v>
      </c>
      <c r="AP6" s="351"/>
      <c r="AQ6" s="431">
        <v>1193</v>
      </c>
      <c r="AR6" s="351"/>
      <c r="AS6" s="431">
        <v>3446</v>
      </c>
      <c r="AT6" s="351"/>
      <c r="AU6" s="431">
        <v>906</v>
      </c>
      <c r="AV6" s="351"/>
      <c r="AW6" s="355"/>
      <c r="AX6" s="351"/>
      <c r="AY6" s="355"/>
      <c r="AZ6" s="351"/>
      <c r="BA6" s="354"/>
      <c r="BB6" s="69"/>
      <c r="BC6" s="470"/>
      <c r="BD6" s="470"/>
      <c r="BE6" s="470"/>
      <c r="BF6" s="470"/>
      <c r="BG6" s="70"/>
    </row>
    <row r="7" spans="2:59" x14ac:dyDescent="0.25">
      <c r="B7" s="41"/>
      <c r="C7" s="41"/>
      <c r="D7" s="49" t="s">
        <v>20</v>
      </c>
      <c r="E7" s="68"/>
      <c r="F7" s="433"/>
      <c r="G7" s="431"/>
      <c r="H7" s="72"/>
      <c r="I7" s="431"/>
      <c r="J7" s="72"/>
      <c r="K7" s="431"/>
      <c r="L7" s="352"/>
      <c r="M7" s="431"/>
      <c r="N7" s="352"/>
      <c r="O7" s="431"/>
      <c r="P7" s="352"/>
      <c r="Q7" s="431"/>
      <c r="R7" s="352"/>
      <c r="S7" s="431"/>
      <c r="T7" s="352"/>
      <c r="U7" s="431"/>
      <c r="V7" s="352"/>
      <c r="W7" s="431"/>
      <c r="X7" s="352"/>
      <c r="Y7" s="431"/>
      <c r="Z7" s="352"/>
      <c r="AA7" s="431"/>
      <c r="AB7" s="352"/>
      <c r="AC7" s="431"/>
      <c r="AD7" s="352"/>
      <c r="AE7" s="431"/>
      <c r="AF7" s="352"/>
      <c r="AG7" s="431"/>
      <c r="AH7" s="352"/>
      <c r="AI7" s="431"/>
      <c r="AJ7" s="352"/>
      <c r="AK7" s="431"/>
      <c r="AL7" s="352"/>
      <c r="AM7" s="431"/>
      <c r="AN7" s="352"/>
      <c r="AO7" s="431"/>
      <c r="AP7" s="352"/>
      <c r="AQ7" s="431"/>
      <c r="AR7" s="352"/>
      <c r="AS7" s="431"/>
      <c r="AT7" s="352"/>
      <c r="AU7" s="431"/>
      <c r="AV7" s="352"/>
      <c r="AW7" s="356"/>
      <c r="AX7" s="352"/>
      <c r="AY7" s="356"/>
      <c r="AZ7" s="352"/>
      <c r="BA7" s="320"/>
      <c r="BB7" s="69"/>
      <c r="BC7" s="470"/>
      <c r="BD7" s="470"/>
      <c r="BE7" s="470"/>
      <c r="BF7" s="470"/>
      <c r="BG7" s="69"/>
    </row>
    <row r="8" spans="2:59" x14ac:dyDescent="0.25">
      <c r="B8" s="41"/>
      <c r="C8" s="41"/>
      <c r="D8" s="49" t="s">
        <v>21</v>
      </c>
      <c r="E8" s="68"/>
      <c r="F8" s="433"/>
      <c r="G8" s="431"/>
      <c r="H8" s="72"/>
      <c r="I8" s="431"/>
      <c r="J8" s="72"/>
      <c r="K8" s="431"/>
      <c r="L8" s="352"/>
      <c r="M8" s="431"/>
      <c r="N8" s="352"/>
      <c r="O8" s="431"/>
      <c r="P8" s="352"/>
      <c r="Q8" s="432"/>
      <c r="R8" s="352"/>
      <c r="S8" s="431"/>
      <c r="T8" s="352"/>
      <c r="U8" s="432"/>
      <c r="V8" s="352"/>
      <c r="W8" s="431"/>
      <c r="X8" s="352"/>
      <c r="Y8" s="432"/>
      <c r="Z8" s="352"/>
      <c r="AA8" s="432"/>
      <c r="AB8" s="352"/>
      <c r="AC8" s="432"/>
      <c r="AD8" s="352"/>
      <c r="AE8" s="431"/>
      <c r="AF8" s="352"/>
      <c r="AG8" s="431"/>
      <c r="AH8" s="352"/>
      <c r="AI8" s="431"/>
      <c r="AJ8" s="352"/>
      <c r="AK8" s="431"/>
      <c r="AL8" s="352"/>
      <c r="AM8" s="431"/>
      <c r="AN8" s="352"/>
      <c r="AO8" s="432"/>
      <c r="AP8" s="352"/>
      <c r="AQ8" s="432"/>
      <c r="AR8" s="352"/>
      <c r="AS8" s="432"/>
      <c r="AT8" s="352"/>
      <c r="AU8" s="432"/>
      <c r="AV8" s="352"/>
      <c r="AW8" s="356"/>
      <c r="AX8" s="352"/>
      <c r="AY8" s="356"/>
      <c r="AZ8" s="352"/>
      <c r="BA8" s="320"/>
      <c r="BB8" s="69"/>
      <c r="BC8" s="470"/>
      <c r="BD8" s="470"/>
      <c r="BE8" s="470"/>
      <c r="BF8" s="470"/>
      <c r="BG8" s="69"/>
    </row>
    <row r="9" spans="2:59" x14ac:dyDescent="0.25">
      <c r="B9" s="41"/>
      <c r="C9" s="41"/>
      <c r="D9" s="49" t="s">
        <v>22</v>
      </c>
      <c r="E9" s="68"/>
      <c r="F9" s="433"/>
      <c r="G9" s="432"/>
      <c r="H9" s="72"/>
      <c r="I9" s="432"/>
      <c r="J9" s="72"/>
      <c r="K9" s="432"/>
      <c r="L9" s="352"/>
      <c r="M9" s="432"/>
      <c r="N9" s="352"/>
      <c r="O9" s="432"/>
      <c r="P9" s="352"/>
      <c r="Q9" s="444">
        <f>199+1633</f>
        <v>1832</v>
      </c>
      <c r="R9" s="352"/>
      <c r="S9" s="432"/>
      <c r="T9" s="352"/>
      <c r="U9" s="444">
        <f>0+1</f>
        <v>1</v>
      </c>
      <c r="V9" s="352"/>
      <c r="W9" s="432"/>
      <c r="X9" s="352"/>
      <c r="Y9" s="444">
        <v>22441.5</v>
      </c>
      <c r="Z9" s="352"/>
      <c r="AA9" s="444">
        <v>17446.099999999999</v>
      </c>
      <c r="AB9" s="352"/>
      <c r="AC9" s="444">
        <v>34238.400000000001</v>
      </c>
      <c r="AD9" s="352"/>
      <c r="AE9" s="432"/>
      <c r="AF9" s="352"/>
      <c r="AG9" s="432"/>
      <c r="AH9" s="352"/>
      <c r="AI9" s="432"/>
      <c r="AJ9" s="352"/>
      <c r="AK9" s="432"/>
      <c r="AL9" s="352"/>
      <c r="AM9" s="432"/>
      <c r="AN9" s="352"/>
      <c r="AO9" s="444">
        <f>6817+17235</f>
        <v>24052</v>
      </c>
      <c r="AP9" s="352"/>
      <c r="AQ9" s="444">
        <f>1240+1538</f>
        <v>2778</v>
      </c>
      <c r="AR9" s="352"/>
      <c r="AS9" s="444">
        <v>12073</v>
      </c>
      <c r="AT9" s="352"/>
      <c r="AU9" s="444">
        <v>13277</v>
      </c>
      <c r="AV9" s="352"/>
      <c r="AW9" s="356"/>
      <c r="AX9" s="352"/>
      <c r="AY9" s="356"/>
      <c r="AZ9" s="352"/>
      <c r="BA9" s="320"/>
      <c r="BB9" s="69"/>
      <c r="BC9" s="470"/>
      <c r="BD9" s="470"/>
      <c r="BE9" s="470"/>
      <c r="BF9" s="470"/>
      <c r="BG9" s="69"/>
    </row>
    <row r="10" spans="2:59" x14ac:dyDescent="0.25">
      <c r="B10" s="41"/>
      <c r="C10" s="41"/>
      <c r="D10" s="49" t="s">
        <v>23</v>
      </c>
      <c r="E10" s="68"/>
      <c r="F10" s="433"/>
      <c r="G10" s="444">
        <v>4588</v>
      </c>
      <c r="H10" s="72"/>
      <c r="I10" s="444">
        <v>6058.7</v>
      </c>
      <c r="J10" s="72"/>
      <c r="K10" s="444">
        <f>11776+8285</f>
        <v>20061</v>
      </c>
      <c r="L10" s="352"/>
      <c r="M10" s="444">
        <v>9287.2000000000007</v>
      </c>
      <c r="N10" s="352"/>
      <c r="O10" s="444">
        <v>4288</v>
      </c>
      <c r="P10" s="352"/>
      <c r="Q10" s="431"/>
      <c r="R10" s="352"/>
      <c r="S10" s="444">
        <v>50448</v>
      </c>
      <c r="T10" s="352"/>
      <c r="U10" s="431"/>
      <c r="V10" s="352"/>
      <c r="W10" s="444">
        <v>5757.7</v>
      </c>
      <c r="X10" s="352"/>
      <c r="Y10" s="431"/>
      <c r="Z10" s="352"/>
      <c r="AA10" s="431"/>
      <c r="AB10" s="352"/>
      <c r="AC10" s="431"/>
      <c r="AD10" s="352"/>
      <c r="AE10" s="444">
        <v>9320</v>
      </c>
      <c r="AF10" s="352"/>
      <c r="AG10" s="444">
        <v>6214</v>
      </c>
      <c r="AH10" s="352"/>
      <c r="AI10" s="444">
        <f>8916+18945</f>
        <v>27861</v>
      </c>
      <c r="AJ10" s="352"/>
      <c r="AK10" s="444">
        <v>4472</v>
      </c>
      <c r="AL10" s="352"/>
      <c r="AM10" s="444">
        <v>20686</v>
      </c>
      <c r="AN10" s="352"/>
      <c r="AO10" s="431"/>
      <c r="AP10" s="352"/>
      <c r="AQ10" s="431"/>
      <c r="AR10" s="352"/>
      <c r="AS10" s="431"/>
      <c r="AT10" s="352"/>
      <c r="AU10" s="431"/>
      <c r="AV10" s="352"/>
      <c r="AW10" s="356"/>
      <c r="AX10" s="352"/>
      <c r="AY10" s="356"/>
      <c r="AZ10" s="352"/>
      <c r="BA10" s="320"/>
      <c r="BB10" s="69"/>
      <c r="BC10" s="470"/>
      <c r="BD10" s="470"/>
      <c r="BE10" s="470"/>
      <c r="BF10" s="470"/>
      <c r="BG10" s="69"/>
    </row>
    <row r="11" spans="2:59" x14ac:dyDescent="0.25">
      <c r="B11" s="41"/>
      <c r="C11" s="41"/>
      <c r="D11" s="49" t="s">
        <v>24</v>
      </c>
      <c r="E11" s="68"/>
      <c r="F11" s="433"/>
      <c r="G11" s="431"/>
      <c r="H11" s="72"/>
      <c r="I11" s="431"/>
      <c r="J11" s="72"/>
      <c r="K11" s="431"/>
      <c r="L11" s="352"/>
      <c r="M11" s="431"/>
      <c r="N11" s="352"/>
      <c r="O11" s="431"/>
      <c r="P11" s="352"/>
      <c r="Q11" s="431"/>
      <c r="R11" s="352"/>
      <c r="S11" s="431"/>
      <c r="T11" s="352"/>
      <c r="U11" s="431"/>
      <c r="V11" s="352"/>
      <c r="W11" s="431"/>
      <c r="X11" s="352"/>
      <c r="Y11" s="431"/>
      <c r="Z11" s="352"/>
      <c r="AA11" s="431"/>
      <c r="AB11" s="352"/>
      <c r="AC11" s="431"/>
      <c r="AD11" s="352"/>
      <c r="AE11" s="431"/>
      <c r="AF11" s="352"/>
      <c r="AG11" s="431"/>
      <c r="AH11" s="352"/>
      <c r="AI11" s="431"/>
      <c r="AJ11" s="352"/>
      <c r="AK11" s="431"/>
      <c r="AL11" s="352"/>
      <c r="AM11" s="431"/>
      <c r="AN11" s="352"/>
      <c r="AO11" s="431"/>
      <c r="AP11" s="352"/>
      <c r="AQ11" s="431"/>
      <c r="AR11" s="352"/>
      <c r="AS11" s="431"/>
      <c r="AT11" s="352"/>
      <c r="AU11" s="431"/>
      <c r="AV11" s="352"/>
      <c r="AW11" s="356"/>
      <c r="AX11" s="352"/>
      <c r="AY11" s="356"/>
      <c r="AZ11" s="352"/>
      <c r="BA11" s="320"/>
      <c r="BB11" s="69"/>
      <c r="BC11" s="470"/>
      <c r="BD11" s="470"/>
      <c r="BE11" s="470"/>
      <c r="BF11" s="470"/>
      <c r="BG11" s="69"/>
    </row>
    <row r="12" spans="2:59" x14ac:dyDescent="0.25">
      <c r="B12" s="41"/>
      <c r="C12" s="41"/>
      <c r="D12" s="49" t="s">
        <v>25</v>
      </c>
      <c r="E12" s="68"/>
      <c r="F12" s="433"/>
      <c r="G12" s="431"/>
      <c r="H12" s="72"/>
      <c r="I12" s="431"/>
      <c r="J12" s="72"/>
      <c r="K12" s="431"/>
      <c r="L12" s="352"/>
      <c r="M12" s="431"/>
      <c r="N12" s="352"/>
      <c r="O12" s="431"/>
      <c r="P12" s="352"/>
      <c r="Q12" s="431"/>
      <c r="R12" s="352"/>
      <c r="S12" s="431"/>
      <c r="T12" s="352"/>
      <c r="U12" s="431"/>
      <c r="V12" s="352"/>
      <c r="W12" s="431"/>
      <c r="X12" s="352"/>
      <c r="Y12" s="431"/>
      <c r="Z12" s="352"/>
      <c r="AA12" s="431"/>
      <c r="AB12" s="352"/>
      <c r="AC12" s="431"/>
      <c r="AD12" s="352"/>
      <c r="AE12" s="431"/>
      <c r="AF12" s="352"/>
      <c r="AG12" s="431"/>
      <c r="AH12" s="352"/>
      <c r="AI12" s="431"/>
      <c r="AJ12" s="352"/>
      <c r="AK12" s="431"/>
      <c r="AL12" s="352"/>
      <c r="AM12" s="431"/>
      <c r="AN12" s="352"/>
      <c r="AO12" s="431"/>
      <c r="AP12" s="352"/>
      <c r="AQ12" s="431"/>
      <c r="AR12" s="352"/>
      <c r="AS12" s="431"/>
      <c r="AT12" s="352"/>
      <c r="AU12" s="431"/>
      <c r="AV12" s="352"/>
      <c r="AW12" s="356"/>
      <c r="AX12" s="352"/>
      <c r="AY12" s="356"/>
      <c r="AZ12" s="352"/>
      <c r="BA12" s="320"/>
      <c r="BB12" s="69"/>
      <c r="BC12" s="470"/>
      <c r="BD12" s="470"/>
      <c r="BE12" s="470"/>
      <c r="BF12" s="470"/>
      <c r="BG12" s="69"/>
    </row>
    <row r="13" spans="2:59" x14ac:dyDescent="0.25">
      <c r="B13" s="41"/>
      <c r="C13" s="41"/>
      <c r="D13" s="49" t="s">
        <v>26</v>
      </c>
      <c r="E13" s="68"/>
      <c r="F13" s="433"/>
      <c r="G13" s="431"/>
      <c r="H13" s="72"/>
      <c r="I13" s="431"/>
      <c r="J13" s="72"/>
      <c r="K13" s="431"/>
      <c r="L13" s="352"/>
      <c r="M13" s="431"/>
      <c r="N13" s="352"/>
      <c r="O13" s="431"/>
      <c r="P13" s="352"/>
      <c r="Q13" s="431"/>
      <c r="R13" s="352"/>
      <c r="S13" s="431"/>
      <c r="T13" s="352"/>
      <c r="U13" s="431"/>
      <c r="V13" s="352"/>
      <c r="W13" s="431"/>
      <c r="X13" s="352"/>
      <c r="Y13" s="431"/>
      <c r="Z13" s="352"/>
      <c r="AA13" s="431"/>
      <c r="AB13" s="352"/>
      <c r="AC13" s="431"/>
      <c r="AD13" s="352"/>
      <c r="AE13" s="431"/>
      <c r="AF13" s="352"/>
      <c r="AG13" s="431"/>
      <c r="AH13" s="352"/>
      <c r="AI13" s="431"/>
      <c r="AJ13" s="352"/>
      <c r="AK13" s="431"/>
      <c r="AL13" s="352"/>
      <c r="AM13" s="431"/>
      <c r="AN13" s="352"/>
      <c r="AO13" s="431"/>
      <c r="AP13" s="352"/>
      <c r="AQ13" s="431"/>
      <c r="AR13" s="352"/>
      <c r="AS13" s="431"/>
      <c r="AT13" s="352"/>
      <c r="AU13" s="431"/>
      <c r="AV13" s="352"/>
      <c r="AW13" s="356"/>
      <c r="AX13" s="352"/>
      <c r="AY13" s="356"/>
      <c r="AZ13" s="352"/>
      <c r="BA13" s="320"/>
      <c r="BB13" s="69"/>
      <c r="BC13" s="470"/>
      <c r="BD13" s="470"/>
      <c r="BE13" s="470"/>
      <c r="BF13" s="470"/>
      <c r="BG13" s="69"/>
    </row>
    <row r="14" spans="2:59" x14ac:dyDescent="0.25">
      <c r="B14" s="41"/>
      <c r="C14" s="41"/>
      <c r="D14" s="49" t="s">
        <v>27</v>
      </c>
      <c r="E14" s="68"/>
      <c r="F14" s="433"/>
      <c r="G14" s="431"/>
      <c r="H14" s="72"/>
      <c r="I14" s="431"/>
      <c r="J14" s="72"/>
      <c r="K14" s="431"/>
      <c r="L14" s="352"/>
      <c r="M14" s="431"/>
      <c r="N14" s="352"/>
      <c r="O14" s="431"/>
      <c r="P14" s="352"/>
      <c r="Q14" s="431"/>
      <c r="R14" s="352"/>
      <c r="S14" s="431"/>
      <c r="T14" s="352"/>
      <c r="U14" s="431"/>
      <c r="V14" s="352"/>
      <c r="W14" s="431"/>
      <c r="X14" s="352"/>
      <c r="Y14" s="431"/>
      <c r="Z14" s="352"/>
      <c r="AA14" s="431"/>
      <c r="AB14" s="352"/>
      <c r="AC14" s="431"/>
      <c r="AD14" s="352"/>
      <c r="AE14" s="431"/>
      <c r="AF14" s="352"/>
      <c r="AG14" s="431"/>
      <c r="AH14" s="352"/>
      <c r="AI14" s="431"/>
      <c r="AJ14" s="352"/>
      <c r="AK14" s="431"/>
      <c r="AL14" s="352"/>
      <c r="AM14" s="431"/>
      <c r="AN14" s="352"/>
      <c r="AO14" s="431"/>
      <c r="AP14" s="352"/>
      <c r="AQ14" s="431"/>
      <c r="AR14" s="352"/>
      <c r="AS14" s="431"/>
      <c r="AT14" s="352"/>
      <c r="AU14" s="431"/>
      <c r="AV14" s="352"/>
      <c r="AW14" s="356"/>
      <c r="AX14" s="352"/>
      <c r="AY14" s="356"/>
      <c r="AZ14" s="352"/>
      <c r="BA14" s="320"/>
      <c r="BB14" s="69"/>
      <c r="BC14" s="470"/>
      <c r="BD14" s="470"/>
      <c r="BE14" s="470"/>
      <c r="BF14" s="470"/>
      <c r="BG14" s="69"/>
    </row>
    <row r="15" spans="2:59" x14ac:dyDescent="0.25">
      <c r="B15" s="41"/>
      <c r="C15" s="41"/>
      <c r="D15" s="49" t="s">
        <v>28</v>
      </c>
      <c r="E15" s="68"/>
      <c r="F15" s="433"/>
      <c r="G15" s="431"/>
      <c r="H15" s="72"/>
      <c r="I15" s="431"/>
      <c r="J15" s="72"/>
      <c r="K15" s="431"/>
      <c r="L15" s="352"/>
      <c r="M15" s="431"/>
      <c r="N15" s="352"/>
      <c r="O15" s="431"/>
      <c r="P15" s="352"/>
      <c r="Q15" s="431"/>
      <c r="R15" s="352"/>
      <c r="S15" s="431"/>
      <c r="T15" s="352"/>
      <c r="U15" s="431"/>
      <c r="V15" s="352"/>
      <c r="W15" s="431"/>
      <c r="X15" s="352"/>
      <c r="Y15" s="431"/>
      <c r="Z15" s="352"/>
      <c r="AA15" s="431"/>
      <c r="AB15" s="352"/>
      <c r="AC15" s="431"/>
      <c r="AD15" s="352"/>
      <c r="AE15" s="431"/>
      <c r="AF15" s="352"/>
      <c r="AG15" s="431"/>
      <c r="AH15" s="352"/>
      <c r="AI15" s="431"/>
      <c r="AJ15" s="352"/>
      <c r="AK15" s="431"/>
      <c r="AL15" s="352"/>
      <c r="AM15" s="431"/>
      <c r="AN15" s="352"/>
      <c r="AO15" s="431"/>
      <c r="AP15" s="352"/>
      <c r="AQ15" s="431"/>
      <c r="AR15" s="352"/>
      <c r="AS15" s="431"/>
      <c r="AT15" s="352"/>
      <c r="AU15" s="431"/>
      <c r="AV15" s="352"/>
      <c r="AW15" s="356"/>
      <c r="AX15" s="352"/>
      <c r="AY15" s="356"/>
      <c r="AZ15" s="352"/>
      <c r="BA15" s="320"/>
      <c r="BB15" s="69"/>
      <c r="BC15" s="470"/>
      <c r="BD15" s="470"/>
      <c r="BE15" s="470"/>
      <c r="BF15" s="470"/>
      <c r="BG15" s="69"/>
    </row>
    <row r="16" spans="2:59" x14ac:dyDescent="0.25">
      <c r="B16" s="41"/>
      <c r="C16" s="41"/>
      <c r="D16" s="49" t="s">
        <v>29</v>
      </c>
      <c r="E16" s="68"/>
      <c r="F16" s="433"/>
      <c r="G16" s="431"/>
      <c r="H16" s="72"/>
      <c r="I16" s="431"/>
      <c r="J16" s="72"/>
      <c r="K16" s="431"/>
      <c r="L16" s="352"/>
      <c r="M16" s="431"/>
      <c r="N16" s="352"/>
      <c r="O16" s="431"/>
      <c r="P16" s="352"/>
      <c r="Q16" s="431"/>
      <c r="R16" s="352"/>
      <c r="S16" s="431"/>
      <c r="T16" s="352"/>
      <c r="U16" s="431"/>
      <c r="V16" s="352"/>
      <c r="W16" s="431"/>
      <c r="X16" s="352"/>
      <c r="Y16" s="431"/>
      <c r="Z16" s="352"/>
      <c r="AA16" s="431"/>
      <c r="AB16" s="352"/>
      <c r="AC16" s="431"/>
      <c r="AD16" s="352"/>
      <c r="AE16" s="431"/>
      <c r="AF16" s="352"/>
      <c r="AG16" s="431"/>
      <c r="AH16" s="352"/>
      <c r="AI16" s="431"/>
      <c r="AJ16" s="352"/>
      <c r="AK16" s="431"/>
      <c r="AL16" s="352"/>
      <c r="AM16" s="431"/>
      <c r="AN16" s="352"/>
      <c r="AO16" s="431"/>
      <c r="AP16" s="352"/>
      <c r="AQ16" s="431"/>
      <c r="AR16" s="352"/>
      <c r="AS16" s="431"/>
      <c r="AT16" s="352"/>
      <c r="AU16" s="431"/>
      <c r="AV16" s="352"/>
      <c r="AW16" s="356"/>
      <c r="AX16" s="352"/>
      <c r="AY16" s="356"/>
      <c r="AZ16" s="352"/>
      <c r="BA16" s="320"/>
      <c r="BB16" s="69"/>
      <c r="BC16" s="470"/>
      <c r="BD16" s="470"/>
      <c r="BE16" s="470"/>
      <c r="BF16" s="470"/>
      <c r="BG16" s="69"/>
    </row>
    <row r="17" spans="2:59" x14ac:dyDescent="0.25">
      <c r="B17" s="41"/>
      <c r="C17" s="41"/>
      <c r="D17" s="49" t="s">
        <v>30</v>
      </c>
      <c r="E17" s="68"/>
      <c r="F17" s="447"/>
      <c r="G17" s="445"/>
      <c r="H17" s="74"/>
      <c r="I17" s="445"/>
      <c r="J17" s="74"/>
      <c r="K17" s="445"/>
      <c r="L17" s="353"/>
      <c r="M17" s="445"/>
      <c r="N17" s="353"/>
      <c r="O17" s="445"/>
      <c r="P17" s="353"/>
      <c r="Q17" s="445"/>
      <c r="R17" s="353"/>
      <c r="S17" s="445"/>
      <c r="T17" s="353"/>
      <c r="U17" s="445"/>
      <c r="V17" s="353"/>
      <c r="W17" s="445"/>
      <c r="X17" s="353"/>
      <c r="Y17" s="445"/>
      <c r="Z17" s="353"/>
      <c r="AA17" s="445"/>
      <c r="AB17" s="353"/>
      <c r="AC17" s="445"/>
      <c r="AD17" s="353"/>
      <c r="AE17" s="445"/>
      <c r="AF17" s="353"/>
      <c r="AG17" s="445"/>
      <c r="AH17" s="353"/>
      <c r="AI17" s="445"/>
      <c r="AJ17" s="353"/>
      <c r="AK17" s="445"/>
      <c r="AL17" s="353"/>
      <c r="AM17" s="445"/>
      <c r="AN17" s="353"/>
      <c r="AO17" s="445"/>
      <c r="AP17" s="353"/>
      <c r="AQ17" s="445"/>
      <c r="AR17" s="353"/>
      <c r="AS17" s="445"/>
      <c r="AT17" s="353"/>
      <c r="AU17" s="445"/>
      <c r="AV17" s="353"/>
      <c r="AW17" s="357"/>
      <c r="AX17" s="353"/>
      <c r="AY17" s="357"/>
      <c r="AZ17" s="353"/>
      <c r="BA17" s="321"/>
      <c r="BB17" s="50"/>
      <c r="BC17" s="471"/>
      <c r="BD17" s="471"/>
      <c r="BE17" s="471"/>
      <c r="BF17" s="471"/>
      <c r="BG17" s="69"/>
    </row>
    <row r="18" spans="2:59" x14ac:dyDescent="0.25">
      <c r="B18" s="52"/>
      <c r="C18" s="52"/>
      <c r="D18" s="53"/>
      <c r="E18" s="75"/>
      <c r="F18" s="54">
        <f t="shared" ref="F18:BA18" si="0">SUM(F6:F17)</f>
        <v>424224.00000000006</v>
      </c>
      <c r="G18" s="358">
        <f t="shared" si="0"/>
        <v>6128</v>
      </c>
      <c r="H18" s="54"/>
      <c r="I18" s="358">
        <f t="shared" si="0"/>
        <v>10488.2</v>
      </c>
      <c r="J18" s="54"/>
      <c r="K18" s="358">
        <f t="shared" si="0"/>
        <v>33547.699999999997</v>
      </c>
      <c r="L18" s="54"/>
      <c r="M18" s="358">
        <f t="shared" si="0"/>
        <v>14274.400000000001</v>
      </c>
      <c r="N18" s="54"/>
      <c r="O18" s="358">
        <f t="shared" si="0"/>
        <v>5025</v>
      </c>
      <c r="P18" s="54"/>
      <c r="Q18" s="358">
        <f t="shared" si="0"/>
        <v>2629.1</v>
      </c>
      <c r="R18" s="54"/>
      <c r="S18" s="358">
        <f t="shared" si="0"/>
        <v>73404</v>
      </c>
      <c r="T18" s="54"/>
      <c r="U18" s="358">
        <f t="shared" si="0"/>
        <v>3</v>
      </c>
      <c r="V18" s="54"/>
      <c r="W18" s="358">
        <f t="shared" si="0"/>
        <v>9262.2000000000007</v>
      </c>
      <c r="X18" s="54"/>
      <c r="Y18" s="358">
        <f t="shared" si="0"/>
        <v>29776.3</v>
      </c>
      <c r="Z18" s="54"/>
      <c r="AA18" s="358">
        <f t="shared" si="0"/>
        <v>22649.199999999997</v>
      </c>
      <c r="AB18" s="54"/>
      <c r="AC18" s="358">
        <f t="shared" si="0"/>
        <v>48508.3</v>
      </c>
      <c r="AD18" s="54"/>
      <c r="AE18" s="358">
        <f t="shared" si="0"/>
        <v>14006</v>
      </c>
      <c r="AF18" s="54"/>
      <c r="AG18" s="358">
        <f t="shared" si="0"/>
        <v>9102</v>
      </c>
      <c r="AH18" s="54"/>
      <c r="AI18" s="358">
        <f t="shared" si="0"/>
        <v>41774.199999999997</v>
      </c>
      <c r="AJ18" s="54"/>
      <c r="AK18" s="358">
        <f t="shared" si="0"/>
        <v>5722</v>
      </c>
      <c r="AL18" s="54"/>
      <c r="AM18" s="358">
        <f t="shared" si="0"/>
        <v>31886</v>
      </c>
      <c r="AN18" s="54"/>
      <c r="AO18" s="358">
        <f t="shared" si="0"/>
        <v>32365.4</v>
      </c>
      <c r="AP18" s="54"/>
      <c r="AQ18" s="358">
        <f t="shared" si="0"/>
        <v>3971</v>
      </c>
      <c r="AR18" s="54"/>
      <c r="AS18" s="358">
        <f t="shared" si="0"/>
        <v>15519</v>
      </c>
      <c r="AT18" s="54"/>
      <c r="AU18" s="358">
        <f t="shared" si="0"/>
        <v>14183</v>
      </c>
      <c r="AV18" s="54"/>
      <c r="AW18" s="358">
        <f t="shared" si="0"/>
        <v>0</v>
      </c>
      <c r="AX18" s="54"/>
      <c r="AY18" s="358">
        <f t="shared" si="0"/>
        <v>0</v>
      </c>
      <c r="AZ18" s="54"/>
      <c r="BA18" s="54">
        <f t="shared" si="0"/>
        <v>0</v>
      </c>
      <c r="BB18" s="76"/>
      <c r="BC18" s="54"/>
      <c r="BD18" s="54"/>
      <c r="BE18" s="54"/>
      <c r="BF18" s="54">
        <f>SUM(BF6:BF17)</f>
        <v>0</v>
      </c>
      <c r="BG18" s="40"/>
    </row>
    <row r="19" spans="2:59" ht="15.75" x14ac:dyDescent="0.25">
      <c r="B19" s="56">
        <v>2014</v>
      </c>
      <c r="C19" s="57"/>
      <c r="D19" s="58" t="s">
        <v>35</v>
      </c>
      <c r="E19" s="77"/>
      <c r="F19" s="59">
        <v>0.21</v>
      </c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60">
        <f>BA18*(1+F19)</f>
        <v>0</v>
      </c>
      <c r="BB19" s="77"/>
      <c r="BC19" s="59"/>
      <c r="BD19" s="59"/>
      <c r="BE19" s="59"/>
      <c r="BF19" s="60">
        <f>BF18*(1+F19)</f>
        <v>0</v>
      </c>
      <c r="BG19" s="77"/>
    </row>
    <row r="20" spans="2:59" ht="3.75" customHeight="1" x14ac:dyDescent="0.25"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80"/>
      <c r="BC20" s="78"/>
      <c r="BD20" s="78"/>
      <c r="BE20" s="78"/>
      <c r="BF20" s="78"/>
      <c r="BG20" s="80"/>
    </row>
    <row r="21" spans="2:59" x14ac:dyDescent="0.25">
      <c r="D21" s="49" t="s">
        <v>19</v>
      </c>
      <c r="E21" s="68"/>
      <c r="F21" s="433">
        <f>SUM(G21:G32,I21:I32,K21:K32,M21:M32,O21:O32,Q21:Q32,S21:S32,U21:U32,W21:W32,Y21:Y32,AA21:AA32,AC21:AC32,AE21:AE32,AG21:AG32,AI21:AI32,AK21:AK32,AM21:AM32,AO21:AO32,AQ21:AQ32,AS21:AS32,AU21:AU32,AW21:AW32,AY21:AY32)</f>
        <v>440115.9</v>
      </c>
      <c r="G21" s="431">
        <v>2718</v>
      </c>
      <c r="H21" s="350"/>
      <c r="I21" s="431">
        <v>3445.3</v>
      </c>
      <c r="J21" s="350"/>
      <c r="K21" s="431">
        <v>12839</v>
      </c>
      <c r="L21" s="351"/>
      <c r="M21" s="431">
        <v>5498.8</v>
      </c>
      <c r="N21" s="351"/>
      <c r="O21" s="431">
        <v>2393</v>
      </c>
      <c r="P21" s="351"/>
      <c r="Q21" s="431">
        <v>526</v>
      </c>
      <c r="R21" s="351"/>
      <c r="S21" s="431">
        <v>24005</v>
      </c>
      <c r="T21" s="351"/>
      <c r="U21" s="431">
        <v>2</v>
      </c>
      <c r="V21" s="351"/>
      <c r="W21" s="431">
        <v>2908.3</v>
      </c>
      <c r="X21" s="351"/>
      <c r="Y21" s="431">
        <v>6663.5</v>
      </c>
      <c r="Z21" s="351"/>
      <c r="AA21" s="431">
        <v>4451.8999999999996</v>
      </c>
      <c r="AB21" s="351"/>
      <c r="AC21" s="431">
        <v>11361.6</v>
      </c>
      <c r="AD21" s="351"/>
      <c r="AE21" s="431">
        <v>4764</v>
      </c>
      <c r="AF21" s="351"/>
      <c r="AG21" s="431">
        <v>3214</v>
      </c>
      <c r="AH21" s="351"/>
      <c r="AI21" s="431">
        <v>15443</v>
      </c>
      <c r="AJ21" s="351"/>
      <c r="AK21" s="431">
        <v>2103</v>
      </c>
      <c r="AL21" s="351"/>
      <c r="AM21" s="431">
        <v>10614</v>
      </c>
      <c r="AN21" s="351"/>
      <c r="AO21" s="431">
        <v>8748</v>
      </c>
      <c r="AP21" s="351"/>
      <c r="AQ21" s="431">
        <v>1238</v>
      </c>
      <c r="AR21" s="351"/>
      <c r="AS21" s="431">
        <v>3585</v>
      </c>
      <c r="AT21" s="351"/>
      <c r="AU21" s="431">
        <v>3833</v>
      </c>
      <c r="AV21" s="351"/>
      <c r="AW21" s="355"/>
      <c r="AX21" s="351"/>
      <c r="AY21" s="355"/>
      <c r="AZ21" s="351"/>
      <c r="BA21" s="354"/>
      <c r="BB21" s="69"/>
      <c r="BC21" s="470"/>
      <c r="BD21" s="470"/>
      <c r="BE21" s="470"/>
      <c r="BF21" s="470"/>
      <c r="BG21" s="70"/>
    </row>
    <row r="22" spans="2:59" x14ac:dyDescent="0.25">
      <c r="D22" s="49" t="s">
        <v>20</v>
      </c>
      <c r="E22" s="68"/>
      <c r="F22" s="433"/>
      <c r="G22" s="431"/>
      <c r="H22" s="72"/>
      <c r="I22" s="431"/>
      <c r="J22" s="72"/>
      <c r="K22" s="431"/>
      <c r="L22" s="352"/>
      <c r="M22" s="431"/>
      <c r="N22" s="352"/>
      <c r="O22" s="431"/>
      <c r="P22" s="352"/>
      <c r="Q22" s="431"/>
      <c r="R22" s="352"/>
      <c r="S22" s="431"/>
      <c r="T22" s="352"/>
      <c r="U22" s="431"/>
      <c r="V22" s="352"/>
      <c r="W22" s="431"/>
      <c r="X22" s="352"/>
      <c r="Y22" s="431"/>
      <c r="Z22" s="352"/>
      <c r="AA22" s="431"/>
      <c r="AB22" s="352"/>
      <c r="AC22" s="431"/>
      <c r="AD22" s="352"/>
      <c r="AE22" s="431"/>
      <c r="AF22" s="352"/>
      <c r="AG22" s="431"/>
      <c r="AH22" s="352"/>
      <c r="AI22" s="431"/>
      <c r="AJ22" s="352"/>
      <c r="AK22" s="431"/>
      <c r="AL22" s="352"/>
      <c r="AM22" s="431"/>
      <c r="AN22" s="352"/>
      <c r="AO22" s="431"/>
      <c r="AP22" s="352"/>
      <c r="AQ22" s="431"/>
      <c r="AR22" s="352"/>
      <c r="AS22" s="431"/>
      <c r="AT22" s="352"/>
      <c r="AU22" s="431"/>
      <c r="AV22" s="352"/>
      <c r="AW22" s="356"/>
      <c r="AX22" s="352"/>
      <c r="AY22" s="356"/>
      <c r="AZ22" s="352"/>
      <c r="BA22" s="320"/>
      <c r="BB22" s="69"/>
      <c r="BC22" s="470"/>
      <c r="BD22" s="470"/>
      <c r="BE22" s="470"/>
      <c r="BF22" s="470"/>
      <c r="BG22" s="69"/>
    </row>
    <row r="23" spans="2:59" x14ac:dyDescent="0.25">
      <c r="D23" s="49" t="s">
        <v>21</v>
      </c>
      <c r="E23" s="68"/>
      <c r="F23" s="433"/>
      <c r="G23" s="431"/>
      <c r="H23" s="72"/>
      <c r="I23" s="431"/>
      <c r="J23" s="72"/>
      <c r="K23" s="431"/>
      <c r="L23" s="352"/>
      <c r="M23" s="431"/>
      <c r="N23" s="352"/>
      <c r="O23" s="431"/>
      <c r="P23" s="352"/>
      <c r="Q23" s="432"/>
      <c r="R23" s="352"/>
      <c r="S23" s="431"/>
      <c r="T23" s="352"/>
      <c r="U23" s="432"/>
      <c r="V23" s="352"/>
      <c r="W23" s="431"/>
      <c r="X23" s="352"/>
      <c r="Y23" s="432"/>
      <c r="Z23" s="352"/>
      <c r="AA23" s="432"/>
      <c r="AB23" s="352"/>
      <c r="AC23" s="432"/>
      <c r="AD23" s="352"/>
      <c r="AE23" s="431"/>
      <c r="AF23" s="352"/>
      <c r="AG23" s="431"/>
      <c r="AH23" s="352"/>
      <c r="AI23" s="431"/>
      <c r="AJ23" s="352"/>
      <c r="AK23" s="431"/>
      <c r="AL23" s="352"/>
      <c r="AM23" s="431"/>
      <c r="AN23" s="352"/>
      <c r="AO23" s="432"/>
      <c r="AP23" s="352"/>
      <c r="AQ23" s="432"/>
      <c r="AR23" s="352"/>
      <c r="AS23" s="432"/>
      <c r="AT23" s="352"/>
      <c r="AU23" s="432"/>
      <c r="AV23" s="352"/>
      <c r="AW23" s="356"/>
      <c r="AX23" s="352"/>
      <c r="AY23" s="356"/>
      <c r="AZ23" s="352"/>
      <c r="BA23" s="320"/>
      <c r="BB23" s="69"/>
      <c r="BC23" s="470"/>
      <c r="BD23" s="470"/>
      <c r="BE23" s="470"/>
      <c r="BF23" s="470"/>
      <c r="BG23" s="69"/>
    </row>
    <row r="24" spans="2:59" x14ac:dyDescent="0.25">
      <c r="D24" s="49" t="s">
        <v>22</v>
      </c>
      <c r="E24" s="68"/>
      <c r="F24" s="433"/>
      <c r="G24" s="432"/>
      <c r="H24" s="72"/>
      <c r="I24" s="432"/>
      <c r="J24" s="72"/>
      <c r="K24" s="432"/>
      <c r="L24" s="352"/>
      <c r="M24" s="432"/>
      <c r="N24" s="352"/>
      <c r="O24" s="432"/>
      <c r="P24" s="352"/>
      <c r="Q24" s="444">
        <v>1579</v>
      </c>
      <c r="R24" s="444">
        <f>(1650.22+503.92+166.22+781.61+10.96)+(1185.83+44.69)</f>
        <v>4343.45</v>
      </c>
      <c r="S24" s="432"/>
      <c r="T24" s="352"/>
      <c r="U24" s="444">
        <v>2</v>
      </c>
      <c r="V24" s="444">
        <f>(1190.81+0.64+0.21+0.99+0.01)+(1.5+0.06)</f>
        <v>1194.22</v>
      </c>
      <c r="W24" s="432"/>
      <c r="X24" s="352"/>
      <c r="Y24" s="444">
        <v>23008.2</v>
      </c>
      <c r="Z24" s="444">
        <f>(2618.48+7342.84+2422.07+11389.06+159.68)+(17279.16+651.13)</f>
        <v>41862.42</v>
      </c>
      <c r="AA24" s="444">
        <v>15797.7</v>
      </c>
      <c r="AB24" s="444">
        <f>(2116.78+5041.68+1663.02+7819.86+109.64)+(11864.07+447.07)</f>
        <v>29062.12</v>
      </c>
      <c r="AC24" s="444">
        <v>34690.400000000001</v>
      </c>
      <c r="AD24" s="444">
        <f>(2555.93+11071.09+3651.86+17171.75+240.75)+(26052.49+981.74)</f>
        <v>61725.610000000008</v>
      </c>
      <c r="AE24" s="432"/>
      <c r="AF24" s="352"/>
      <c r="AG24" s="432"/>
      <c r="AH24" s="352"/>
      <c r="AI24" s="432"/>
      <c r="AJ24" s="352"/>
      <c r="AK24" s="432"/>
      <c r="AL24" s="352"/>
      <c r="AM24" s="432"/>
      <c r="AN24" s="352"/>
      <c r="AO24" s="444">
        <v>26173</v>
      </c>
      <c r="AP24" s="444">
        <f>(3221.78+8352.85+2755.23+12955.64+181.64)+(19655.92+740.7)</f>
        <v>47863.759999999995</v>
      </c>
      <c r="AQ24" s="444">
        <v>3215</v>
      </c>
      <c r="AR24" s="444">
        <f>(794.22+1026.04+338.44+1591.43+22.31)+(2414.47+90.98)</f>
        <v>6277.8899999999994</v>
      </c>
      <c r="AS24" s="444">
        <v>11185</v>
      </c>
      <c r="AT24" s="444">
        <f>(2618.48+3569.58+1177.44+5536.58+77.62)+(8399.94+316.54)</f>
        <v>21696.18</v>
      </c>
      <c r="AU24" s="444">
        <v>13243</v>
      </c>
      <c r="AV24" s="444">
        <f>(2067.51+4226.37+1394.09+6555.29+91.91)+(9945.49+374.78)</f>
        <v>24655.440000000002</v>
      </c>
      <c r="AW24" s="356"/>
      <c r="AX24" s="352"/>
      <c r="AY24" s="356"/>
      <c r="AZ24" s="352"/>
      <c r="BA24" s="320"/>
      <c r="BB24" s="69"/>
      <c r="BC24" s="470"/>
      <c r="BD24" s="470"/>
      <c r="BE24" s="470"/>
      <c r="BF24" s="470"/>
      <c r="BG24" s="69"/>
    </row>
    <row r="25" spans="2:59" x14ac:dyDescent="0.25">
      <c r="D25" s="49" t="s">
        <v>23</v>
      </c>
      <c r="E25" s="68"/>
      <c r="F25" s="433"/>
      <c r="G25" s="444">
        <v>4800</v>
      </c>
      <c r="H25" s="444">
        <f>(665.12+1531.87+505.3+2376+33.31)+(3604.8+135.84)</f>
        <v>8852.2400000000016</v>
      </c>
      <c r="I25" s="444">
        <v>7282.4</v>
      </c>
      <c r="J25" s="444">
        <f>(1694.73+2324.11+766.62+3604.79+50.54)+(5469.08+206.09)</f>
        <v>14115.960000000001</v>
      </c>
      <c r="K25" s="444">
        <v>20894</v>
      </c>
      <c r="L25" s="444">
        <f>(2170.07+6668.11+2199.51+10342.53+145)+(15691.39+591.3)</f>
        <v>37807.910000000003</v>
      </c>
      <c r="M25" s="444">
        <v>10730</v>
      </c>
      <c r="N25" s="444">
        <f>(1666.61+3424.37+1129.55+5311.35+74.47)+(8058.23+303.66)</f>
        <v>19968.239999999998</v>
      </c>
      <c r="O25" s="444">
        <v>5581</v>
      </c>
      <c r="P25" s="444">
        <f>(679.12+1781.12+587.51+2762.6+38.73)+(4191.33+157.94)</f>
        <v>10198.349999999999</v>
      </c>
      <c r="Q25" s="431"/>
      <c r="R25" s="431"/>
      <c r="S25" s="444">
        <v>46567</v>
      </c>
      <c r="T25" s="444">
        <f>(2876.92+14861.39+4902.11+23050.67+323.17)+(34971.82+1317.85)</f>
        <v>82303.929999999993</v>
      </c>
      <c r="U25" s="431"/>
      <c r="V25" s="431"/>
      <c r="W25" s="444">
        <v>5894.8</v>
      </c>
      <c r="X25" s="444">
        <f>(704.7+1881.27+620.55+2917.93+40.91)+(4426.99+166.82)</f>
        <v>10759.17</v>
      </c>
      <c r="Y25" s="431"/>
      <c r="Z25" s="431"/>
      <c r="AA25" s="431"/>
      <c r="AB25" s="431"/>
      <c r="AC25" s="431"/>
      <c r="AD25" s="431"/>
      <c r="AE25" s="444">
        <v>9791</v>
      </c>
      <c r="AF25" s="444">
        <f>(701.83+3124.7+1030.7+4846.55+67.95)+(7353.04+277.09)</f>
        <v>17401.86</v>
      </c>
      <c r="AG25" s="444">
        <v>6024</v>
      </c>
      <c r="AH25" s="444">
        <f>(1751.19+1922.5+634.15+2981.88+41.81)+(4524.02+170.48)</f>
        <v>12026.03</v>
      </c>
      <c r="AI25" s="444">
        <v>29304</v>
      </c>
      <c r="AJ25" s="444">
        <f>(2865.08+9352.08+3084.83+14505.48+203.37)+(22007.3+829.3)</f>
        <v>52847.44</v>
      </c>
      <c r="AK25" s="444">
        <v>4507</v>
      </c>
      <c r="AL25" s="444">
        <f>(1153.7+1438.36+474.45+2230.97+31.28)+(3384.76+127.55)</f>
        <v>8841.07</v>
      </c>
      <c r="AM25" s="444">
        <v>21083</v>
      </c>
      <c r="AN25" s="444">
        <f>(2795.48+6728.43+2219.41+10436.09+146.32)+(15833.33+596.65)</f>
        <v>38755.71</v>
      </c>
      <c r="AO25" s="431"/>
      <c r="AP25" s="431"/>
      <c r="AQ25" s="431"/>
      <c r="AR25" s="431"/>
      <c r="AS25" s="431"/>
      <c r="AT25" s="431"/>
      <c r="AU25" s="431"/>
      <c r="AV25" s="431"/>
      <c r="AW25" s="356"/>
      <c r="AX25" s="352"/>
      <c r="AY25" s="356"/>
      <c r="AZ25" s="352"/>
      <c r="BA25" s="320"/>
      <c r="BB25" s="69"/>
      <c r="BC25" s="470"/>
      <c r="BD25" s="470"/>
      <c r="BE25" s="470"/>
      <c r="BF25" s="470"/>
      <c r="BG25" s="69"/>
    </row>
    <row r="26" spans="2:59" x14ac:dyDescent="0.25">
      <c r="D26" s="49" t="s">
        <v>24</v>
      </c>
      <c r="E26" s="68"/>
      <c r="F26" s="433"/>
      <c r="G26" s="431"/>
      <c r="H26" s="431"/>
      <c r="I26" s="431"/>
      <c r="J26" s="431"/>
      <c r="K26" s="431"/>
      <c r="L26" s="431"/>
      <c r="M26" s="431"/>
      <c r="N26" s="431"/>
      <c r="O26" s="431"/>
      <c r="P26" s="431"/>
      <c r="Q26" s="431"/>
      <c r="R26" s="431"/>
      <c r="S26" s="431"/>
      <c r="T26" s="431"/>
      <c r="U26" s="431"/>
      <c r="V26" s="431"/>
      <c r="W26" s="431"/>
      <c r="X26" s="431"/>
      <c r="Y26" s="431"/>
      <c r="Z26" s="431"/>
      <c r="AA26" s="431"/>
      <c r="AB26" s="431"/>
      <c r="AC26" s="431"/>
      <c r="AD26" s="431"/>
      <c r="AE26" s="431"/>
      <c r="AF26" s="431"/>
      <c r="AG26" s="431"/>
      <c r="AH26" s="431"/>
      <c r="AI26" s="431"/>
      <c r="AJ26" s="431"/>
      <c r="AK26" s="431"/>
      <c r="AL26" s="431"/>
      <c r="AM26" s="431"/>
      <c r="AN26" s="431"/>
      <c r="AO26" s="431"/>
      <c r="AP26" s="431"/>
      <c r="AQ26" s="431"/>
      <c r="AR26" s="431"/>
      <c r="AS26" s="431"/>
      <c r="AT26" s="431"/>
      <c r="AU26" s="431"/>
      <c r="AV26" s="431"/>
      <c r="AW26" s="444">
        <v>7281</v>
      </c>
      <c r="AX26" s="444">
        <f>11407.96+COUNTA($D$26:$D$32)/COUNTA($D$26:$D$32,$D$36:$D$38)*11114.41</f>
        <v>19188.046999999999</v>
      </c>
      <c r="AY26" s="356"/>
      <c r="AZ26" s="352"/>
      <c r="BA26" s="320"/>
      <c r="BB26" s="69"/>
      <c r="BC26" s="470"/>
      <c r="BD26" s="470"/>
      <c r="BE26" s="470"/>
      <c r="BF26" s="470"/>
      <c r="BG26" s="69"/>
    </row>
    <row r="27" spans="2:59" x14ac:dyDescent="0.25">
      <c r="D27" s="49" t="s">
        <v>25</v>
      </c>
      <c r="E27" s="68"/>
      <c r="F27" s="433"/>
      <c r="G27" s="431"/>
      <c r="H27" s="431"/>
      <c r="I27" s="431"/>
      <c r="J27" s="431"/>
      <c r="K27" s="431"/>
      <c r="L27" s="431"/>
      <c r="M27" s="431"/>
      <c r="N27" s="431"/>
      <c r="O27" s="431"/>
      <c r="P27" s="431"/>
      <c r="Q27" s="431"/>
      <c r="R27" s="431"/>
      <c r="S27" s="431"/>
      <c r="T27" s="431"/>
      <c r="U27" s="431"/>
      <c r="V27" s="431"/>
      <c r="W27" s="431"/>
      <c r="X27" s="431"/>
      <c r="Y27" s="431"/>
      <c r="Z27" s="431"/>
      <c r="AA27" s="431"/>
      <c r="AB27" s="431"/>
      <c r="AC27" s="431"/>
      <c r="AD27" s="431"/>
      <c r="AE27" s="431"/>
      <c r="AF27" s="431"/>
      <c r="AG27" s="431"/>
      <c r="AH27" s="431"/>
      <c r="AI27" s="431"/>
      <c r="AJ27" s="431"/>
      <c r="AK27" s="431"/>
      <c r="AL27" s="431"/>
      <c r="AM27" s="431"/>
      <c r="AN27" s="431"/>
      <c r="AO27" s="431"/>
      <c r="AP27" s="431"/>
      <c r="AQ27" s="431"/>
      <c r="AR27" s="431"/>
      <c r="AS27" s="431"/>
      <c r="AT27" s="431"/>
      <c r="AU27" s="431"/>
      <c r="AV27" s="431"/>
      <c r="AW27" s="431"/>
      <c r="AX27" s="431"/>
      <c r="AY27" s="356"/>
      <c r="AZ27" s="352"/>
      <c r="BA27" s="320"/>
      <c r="BB27" s="69"/>
      <c r="BC27" s="470"/>
      <c r="BD27" s="470"/>
      <c r="BE27" s="470"/>
      <c r="BF27" s="470"/>
      <c r="BG27" s="69"/>
    </row>
    <row r="28" spans="2:59" x14ac:dyDescent="0.25">
      <c r="D28" s="49" t="s">
        <v>26</v>
      </c>
      <c r="E28" s="68"/>
      <c r="F28" s="433"/>
      <c r="G28" s="431"/>
      <c r="H28" s="431"/>
      <c r="I28" s="431"/>
      <c r="J28" s="431"/>
      <c r="K28" s="431"/>
      <c r="L28" s="431"/>
      <c r="M28" s="431"/>
      <c r="N28" s="431"/>
      <c r="O28" s="431"/>
      <c r="P28" s="431"/>
      <c r="Q28" s="431"/>
      <c r="R28" s="431"/>
      <c r="S28" s="431"/>
      <c r="T28" s="431"/>
      <c r="U28" s="431"/>
      <c r="V28" s="431"/>
      <c r="W28" s="431"/>
      <c r="X28" s="431"/>
      <c r="Y28" s="431"/>
      <c r="Z28" s="431"/>
      <c r="AA28" s="431"/>
      <c r="AB28" s="431"/>
      <c r="AC28" s="431"/>
      <c r="AD28" s="431"/>
      <c r="AE28" s="431"/>
      <c r="AF28" s="431"/>
      <c r="AG28" s="431"/>
      <c r="AH28" s="431"/>
      <c r="AI28" s="431"/>
      <c r="AJ28" s="431"/>
      <c r="AK28" s="431"/>
      <c r="AL28" s="431"/>
      <c r="AM28" s="431"/>
      <c r="AN28" s="431"/>
      <c r="AO28" s="431"/>
      <c r="AP28" s="431"/>
      <c r="AQ28" s="431"/>
      <c r="AR28" s="431"/>
      <c r="AS28" s="431"/>
      <c r="AT28" s="431"/>
      <c r="AU28" s="431"/>
      <c r="AV28" s="431"/>
      <c r="AW28" s="431"/>
      <c r="AX28" s="431"/>
      <c r="AY28" s="356"/>
      <c r="AZ28" s="352"/>
      <c r="BA28" s="320"/>
      <c r="BB28" s="69"/>
      <c r="BC28" s="470"/>
      <c r="BD28" s="470"/>
      <c r="BE28" s="470"/>
      <c r="BF28" s="470"/>
      <c r="BG28" s="69"/>
    </row>
    <row r="29" spans="2:59" x14ac:dyDescent="0.25">
      <c r="D29" s="49" t="s">
        <v>27</v>
      </c>
      <c r="E29" s="68"/>
      <c r="F29" s="433"/>
      <c r="G29" s="431"/>
      <c r="H29" s="431"/>
      <c r="I29" s="431"/>
      <c r="J29" s="431"/>
      <c r="K29" s="431"/>
      <c r="L29" s="431"/>
      <c r="M29" s="431"/>
      <c r="N29" s="431"/>
      <c r="O29" s="431"/>
      <c r="P29" s="431"/>
      <c r="Q29" s="431"/>
      <c r="R29" s="431"/>
      <c r="S29" s="431"/>
      <c r="T29" s="431"/>
      <c r="U29" s="431"/>
      <c r="V29" s="431"/>
      <c r="W29" s="431"/>
      <c r="X29" s="431"/>
      <c r="Y29" s="431"/>
      <c r="Z29" s="431"/>
      <c r="AA29" s="431"/>
      <c r="AB29" s="431"/>
      <c r="AC29" s="431"/>
      <c r="AD29" s="431"/>
      <c r="AE29" s="431"/>
      <c r="AF29" s="431"/>
      <c r="AG29" s="431"/>
      <c r="AH29" s="431"/>
      <c r="AI29" s="431"/>
      <c r="AJ29" s="431"/>
      <c r="AK29" s="431"/>
      <c r="AL29" s="431"/>
      <c r="AM29" s="431"/>
      <c r="AN29" s="431"/>
      <c r="AO29" s="431"/>
      <c r="AP29" s="431"/>
      <c r="AQ29" s="431"/>
      <c r="AR29" s="431"/>
      <c r="AS29" s="431"/>
      <c r="AT29" s="431"/>
      <c r="AU29" s="431"/>
      <c r="AV29" s="431"/>
      <c r="AW29" s="431"/>
      <c r="AX29" s="431"/>
      <c r="AY29" s="356"/>
      <c r="AZ29" s="352"/>
      <c r="BA29" s="320"/>
      <c r="BB29" s="69"/>
      <c r="BC29" s="470"/>
      <c r="BD29" s="470"/>
      <c r="BE29" s="470"/>
      <c r="BF29" s="470"/>
      <c r="BG29" s="69"/>
    </row>
    <row r="30" spans="2:59" x14ac:dyDescent="0.25">
      <c r="D30" s="49" t="s">
        <v>28</v>
      </c>
      <c r="E30" s="68"/>
      <c r="F30" s="433"/>
      <c r="G30" s="431"/>
      <c r="H30" s="431"/>
      <c r="I30" s="431"/>
      <c r="J30" s="431"/>
      <c r="K30" s="431"/>
      <c r="L30" s="431"/>
      <c r="M30" s="431"/>
      <c r="N30" s="431"/>
      <c r="O30" s="431"/>
      <c r="P30" s="431"/>
      <c r="Q30" s="431"/>
      <c r="R30" s="431"/>
      <c r="S30" s="431"/>
      <c r="T30" s="431"/>
      <c r="U30" s="431"/>
      <c r="V30" s="431"/>
      <c r="W30" s="431"/>
      <c r="X30" s="431"/>
      <c r="Y30" s="431"/>
      <c r="Z30" s="431"/>
      <c r="AA30" s="431"/>
      <c r="AB30" s="431"/>
      <c r="AC30" s="431"/>
      <c r="AD30" s="431"/>
      <c r="AE30" s="431"/>
      <c r="AF30" s="431"/>
      <c r="AG30" s="431"/>
      <c r="AH30" s="431"/>
      <c r="AI30" s="431"/>
      <c r="AJ30" s="431"/>
      <c r="AK30" s="431"/>
      <c r="AL30" s="431"/>
      <c r="AM30" s="431"/>
      <c r="AN30" s="431"/>
      <c r="AO30" s="431"/>
      <c r="AP30" s="431"/>
      <c r="AQ30" s="431"/>
      <c r="AR30" s="431"/>
      <c r="AS30" s="431"/>
      <c r="AT30" s="431"/>
      <c r="AU30" s="431"/>
      <c r="AV30" s="431"/>
      <c r="AW30" s="431"/>
      <c r="AX30" s="431"/>
      <c r="AY30" s="444">
        <v>1129</v>
      </c>
      <c r="AZ30" s="444">
        <f>1431.44+COUNTA($D$30:$D$32)/COUNTA($D$30:$D$32,$D$36:$D$38)*2570.5</f>
        <v>2716.69</v>
      </c>
      <c r="BA30" s="320"/>
      <c r="BB30" s="69"/>
      <c r="BC30" s="470"/>
      <c r="BD30" s="470"/>
      <c r="BE30" s="470"/>
      <c r="BF30" s="470"/>
      <c r="BG30" s="69"/>
    </row>
    <row r="31" spans="2:59" x14ac:dyDescent="0.25">
      <c r="D31" s="49" t="s">
        <v>29</v>
      </c>
      <c r="E31" s="68"/>
      <c r="F31" s="433"/>
      <c r="G31" s="431"/>
      <c r="H31" s="431"/>
      <c r="I31" s="431"/>
      <c r="J31" s="431"/>
      <c r="K31" s="431"/>
      <c r="L31" s="431"/>
      <c r="M31" s="431"/>
      <c r="N31" s="431"/>
      <c r="O31" s="431"/>
      <c r="P31" s="431"/>
      <c r="Q31" s="431"/>
      <c r="R31" s="431"/>
      <c r="S31" s="431"/>
      <c r="T31" s="431"/>
      <c r="U31" s="431"/>
      <c r="V31" s="431"/>
      <c r="W31" s="431"/>
      <c r="X31" s="431"/>
      <c r="Y31" s="431"/>
      <c r="Z31" s="431"/>
      <c r="AA31" s="431"/>
      <c r="AB31" s="431"/>
      <c r="AC31" s="431"/>
      <c r="AD31" s="431"/>
      <c r="AE31" s="431"/>
      <c r="AF31" s="431"/>
      <c r="AG31" s="431"/>
      <c r="AH31" s="431"/>
      <c r="AI31" s="431"/>
      <c r="AJ31" s="431"/>
      <c r="AK31" s="431"/>
      <c r="AL31" s="431"/>
      <c r="AM31" s="431"/>
      <c r="AN31" s="431"/>
      <c r="AO31" s="431"/>
      <c r="AP31" s="431"/>
      <c r="AQ31" s="431"/>
      <c r="AR31" s="431"/>
      <c r="AS31" s="431"/>
      <c r="AT31" s="431"/>
      <c r="AU31" s="431"/>
      <c r="AV31" s="431"/>
      <c r="AW31" s="431"/>
      <c r="AX31" s="431"/>
      <c r="AY31" s="431"/>
      <c r="AZ31" s="431"/>
      <c r="BA31" s="320"/>
      <c r="BB31" s="69"/>
      <c r="BC31" s="470"/>
      <c r="BD31" s="470"/>
      <c r="BE31" s="470"/>
      <c r="BF31" s="470"/>
      <c r="BG31" s="69"/>
    </row>
    <row r="32" spans="2:59" x14ac:dyDescent="0.25">
      <c r="D32" s="49" t="s">
        <v>30</v>
      </c>
      <c r="E32" s="68"/>
      <c r="F32" s="447"/>
      <c r="G32" s="445"/>
      <c r="H32" s="445"/>
      <c r="I32" s="445"/>
      <c r="J32" s="445"/>
      <c r="K32" s="445"/>
      <c r="L32" s="445"/>
      <c r="M32" s="445"/>
      <c r="N32" s="445"/>
      <c r="O32" s="445"/>
      <c r="P32" s="445"/>
      <c r="Q32" s="445"/>
      <c r="R32" s="445"/>
      <c r="S32" s="445"/>
      <c r="T32" s="445"/>
      <c r="U32" s="445"/>
      <c r="V32" s="445"/>
      <c r="W32" s="445"/>
      <c r="X32" s="445"/>
      <c r="Y32" s="445"/>
      <c r="Z32" s="445"/>
      <c r="AA32" s="445"/>
      <c r="AB32" s="445"/>
      <c r="AC32" s="445"/>
      <c r="AD32" s="445"/>
      <c r="AE32" s="445"/>
      <c r="AF32" s="445"/>
      <c r="AG32" s="445"/>
      <c r="AH32" s="445"/>
      <c r="AI32" s="445"/>
      <c r="AJ32" s="445"/>
      <c r="AK32" s="445"/>
      <c r="AL32" s="445"/>
      <c r="AM32" s="445"/>
      <c r="AN32" s="445"/>
      <c r="AO32" s="445"/>
      <c r="AP32" s="445"/>
      <c r="AQ32" s="445"/>
      <c r="AR32" s="445"/>
      <c r="AS32" s="445"/>
      <c r="AT32" s="445"/>
      <c r="AU32" s="445"/>
      <c r="AV32" s="445"/>
      <c r="AW32" s="445"/>
      <c r="AX32" s="445"/>
      <c r="AY32" s="445"/>
      <c r="AZ32" s="445"/>
      <c r="BA32" s="321"/>
      <c r="BB32" s="50"/>
      <c r="BC32" s="471"/>
      <c r="BD32" s="471"/>
      <c r="BE32" s="471"/>
      <c r="BF32" s="471"/>
      <c r="BG32" s="69"/>
    </row>
    <row r="33" spans="2:59" x14ac:dyDescent="0.25">
      <c r="B33" s="52"/>
      <c r="C33" s="52"/>
      <c r="D33" s="53"/>
      <c r="E33" s="75"/>
      <c r="F33" s="54">
        <f>SUM(F21:F32)</f>
        <v>440115.9</v>
      </c>
      <c r="G33" s="358">
        <f t="shared" ref="G33:AY33" si="1">SUM(G21:G32)</f>
        <v>7518</v>
      </c>
      <c r="H33" s="54"/>
      <c r="I33" s="358">
        <f t="shared" si="1"/>
        <v>10727.7</v>
      </c>
      <c r="J33" s="54"/>
      <c r="K33" s="358">
        <f t="shared" si="1"/>
        <v>33733</v>
      </c>
      <c r="L33" s="54"/>
      <c r="M33" s="358">
        <f t="shared" si="1"/>
        <v>16228.8</v>
      </c>
      <c r="N33" s="54"/>
      <c r="O33" s="358">
        <f t="shared" si="1"/>
        <v>7974</v>
      </c>
      <c r="P33" s="54"/>
      <c r="Q33" s="358">
        <f t="shared" si="1"/>
        <v>2105</v>
      </c>
      <c r="R33" s="54"/>
      <c r="S33" s="358">
        <f t="shared" si="1"/>
        <v>70572</v>
      </c>
      <c r="T33" s="54"/>
      <c r="U33" s="358">
        <f t="shared" si="1"/>
        <v>4</v>
      </c>
      <c r="V33" s="54"/>
      <c r="W33" s="358">
        <f t="shared" si="1"/>
        <v>8803.1</v>
      </c>
      <c r="X33" s="54"/>
      <c r="Y33" s="358">
        <f t="shared" si="1"/>
        <v>29671.7</v>
      </c>
      <c r="Z33" s="54"/>
      <c r="AA33" s="358">
        <f t="shared" si="1"/>
        <v>20249.599999999999</v>
      </c>
      <c r="AB33" s="54"/>
      <c r="AC33" s="358">
        <f t="shared" si="1"/>
        <v>46052</v>
      </c>
      <c r="AD33" s="54"/>
      <c r="AE33" s="358">
        <f t="shared" si="1"/>
        <v>14555</v>
      </c>
      <c r="AF33" s="54"/>
      <c r="AG33" s="358">
        <f t="shared" si="1"/>
        <v>9238</v>
      </c>
      <c r="AH33" s="54"/>
      <c r="AI33" s="358">
        <f t="shared" si="1"/>
        <v>44747</v>
      </c>
      <c r="AJ33" s="54"/>
      <c r="AK33" s="358">
        <f t="shared" si="1"/>
        <v>6610</v>
      </c>
      <c r="AL33" s="54"/>
      <c r="AM33" s="358">
        <f t="shared" si="1"/>
        <v>31697</v>
      </c>
      <c r="AN33" s="54"/>
      <c r="AO33" s="358">
        <f t="shared" si="1"/>
        <v>34921</v>
      </c>
      <c r="AP33" s="54"/>
      <c r="AQ33" s="358">
        <f t="shared" si="1"/>
        <v>4453</v>
      </c>
      <c r="AR33" s="54"/>
      <c r="AS33" s="358">
        <f t="shared" si="1"/>
        <v>14770</v>
      </c>
      <c r="AT33" s="54"/>
      <c r="AU33" s="358">
        <f t="shared" si="1"/>
        <v>17076</v>
      </c>
      <c r="AV33" s="54"/>
      <c r="AW33" s="358">
        <f t="shared" si="1"/>
        <v>7281</v>
      </c>
      <c r="AX33" s="54"/>
      <c r="AY33" s="358">
        <f t="shared" si="1"/>
        <v>1129</v>
      </c>
      <c r="AZ33" s="54"/>
      <c r="BA33" s="54">
        <f>SUM(BA21:BA32)</f>
        <v>0</v>
      </c>
      <c r="BB33" s="54"/>
      <c r="BC33" s="54"/>
      <c r="BD33" s="54"/>
      <c r="BE33" s="54"/>
      <c r="BF33" s="54">
        <f t="shared" ref="BF33" si="2">SUM(BF21:BF32)</f>
        <v>0</v>
      </c>
      <c r="BG33" s="55"/>
    </row>
    <row r="34" spans="2:59" ht="15.75" x14ac:dyDescent="0.25">
      <c r="B34" s="56">
        <f>B19+1</f>
        <v>2015</v>
      </c>
      <c r="C34" s="57"/>
      <c r="D34" s="58" t="s">
        <v>35</v>
      </c>
      <c r="E34" s="77"/>
      <c r="F34" s="59">
        <v>0.21</v>
      </c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60">
        <f>BA33*(1+F34)</f>
        <v>0</v>
      </c>
      <c r="BB34" s="51"/>
      <c r="BC34" s="59"/>
      <c r="BD34" s="59"/>
      <c r="BE34" s="59"/>
      <c r="BF34" s="60">
        <f>BF33*(1+F34)</f>
        <v>0</v>
      </c>
      <c r="BG34" s="51"/>
    </row>
    <row r="35" spans="2:59" ht="3.75" customHeight="1" x14ac:dyDescent="0.25"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80"/>
      <c r="BC35" s="78"/>
      <c r="BD35" s="78"/>
      <c r="BE35" s="78"/>
      <c r="BF35" s="78"/>
      <c r="BG35" s="80"/>
    </row>
    <row r="36" spans="2:59" x14ac:dyDescent="0.25">
      <c r="D36" s="49" t="s">
        <v>19</v>
      </c>
      <c r="E36" s="68"/>
      <c r="F36" s="433">
        <f>SUM(G36:G47,I36:I47,K36:K47,M36:M47,O36:O47,Q36:Q47,S36:S47,U36:U47,W36:W47,Y36:Y47,AA36:AA47,AC36:AC47,AE36:AE47,AG36:AG47,AI36:AI47,AK36:AK47,AM36:AM47,AO36:AO47,AQ36:AQ47,AS36:AS47,AU36:AU47,AW36:AW47,AY36:AY47)</f>
        <v>444884.9</v>
      </c>
      <c r="G36" s="431">
        <v>2837</v>
      </c>
      <c r="H36" s="431">
        <f>(373.23+925.51+282.88+1404.32+28.23)+(1929.16+80.29)</f>
        <v>5023.62</v>
      </c>
      <c r="I36" s="431">
        <v>4431.6000000000004</v>
      </c>
      <c r="J36" s="431">
        <f>(984.49+1445.72+441.87+2193.64+29.72)+(3013.49+125.41)</f>
        <v>8234.34</v>
      </c>
      <c r="K36" s="431">
        <v>12260</v>
      </c>
      <c r="L36" s="431">
        <f>(1210.69+3999.58+1222.44+6068.7+28.66)+(8336.8+346.96)</f>
        <v>21213.829999999998</v>
      </c>
      <c r="M36" s="431">
        <v>6636</v>
      </c>
      <c r="N36" s="431">
        <f>(984.49+2164.86+661.68+3284.82+29.72)+(4512.48+187.8)</f>
        <v>11825.85</v>
      </c>
      <c r="O36" s="431">
        <v>3297</v>
      </c>
      <c r="P36" s="431">
        <f>(381.67+1075.58+328.74+1632.02+28.87)+(2241.96+93.31)</f>
        <v>5782.15</v>
      </c>
      <c r="Q36" s="431">
        <v>506</v>
      </c>
      <c r="R36" s="431">
        <f>(477.11+165.07+50.45+250.47+18.04)+(344.08+14.32)</f>
        <v>1319.54</v>
      </c>
      <c r="S36" s="431">
        <v>23085</v>
      </c>
      <c r="T36" s="431">
        <f>(1333.88+7531.02+2301.81+11020.64+25.22)+(15697.8+653.31)</f>
        <v>38563.68</v>
      </c>
      <c r="U36" s="431">
        <v>1</v>
      </c>
      <c r="V36" s="431">
        <f>(468.01+0.33+0.1+0.5+22.15)+(0.68+0.03)</f>
        <v>491.79999999999995</v>
      </c>
      <c r="W36" s="431">
        <v>3139.2</v>
      </c>
      <c r="X36" s="431">
        <f>(353.66+1024.1+313.01+1553.9+26.75)+(2134.66+88.84)</f>
        <v>5494.92</v>
      </c>
      <c r="Y36" s="431">
        <v>7255.8</v>
      </c>
      <c r="Z36" s="431">
        <f>(744.21+2367.06+723.48+3591.62+17.61)+(4933.94+205.34)</f>
        <v>12583.259999999998</v>
      </c>
      <c r="AA36" s="431">
        <v>4440.3</v>
      </c>
      <c r="AB36" s="431">
        <f>(534.54+1448.56+442.74+2197.95+16.13)+(3019.4+125.66)</f>
        <v>7784.98</v>
      </c>
      <c r="AC36" s="431">
        <v>12503.6</v>
      </c>
      <c r="AD36" s="431">
        <f>(834+4079.05+1246.73+6189.28+19.74)+(8502.45+353.85)</f>
        <v>21225.100000000002</v>
      </c>
      <c r="AE36" s="431">
        <v>5272</v>
      </c>
      <c r="AF36" s="431">
        <f>(356.44+1719.88+525.67+2454.1+26.96)+(3584.96+149.2)</f>
        <v>8817.2099999999991</v>
      </c>
      <c r="AG36" s="431">
        <v>3325</v>
      </c>
      <c r="AH36" s="431">
        <f>(914.29+1084.71+331.54+1645.88+27.6)+(2261+94.1)</f>
        <v>6359.12</v>
      </c>
      <c r="AI36" s="431">
        <v>14809</v>
      </c>
      <c r="AJ36" s="431">
        <f>(1357.2+4831.14+1476.61+7330.46+25.66)+(10070.12+419.09)</f>
        <v>25510.28</v>
      </c>
      <c r="AK36" s="431">
        <v>2243</v>
      </c>
      <c r="AL36" s="431">
        <f>(537.51+731.73+223.65+1110.29+25.44)+(1525.24+63.48)</f>
        <v>4217.34</v>
      </c>
      <c r="AM36" s="431">
        <v>11397</v>
      </c>
      <c r="AN36" s="431">
        <f>(1425.76+3718.04+1136.39+5641.52+26.96)+(7749.96+322.54)</f>
        <v>20021.169999999998</v>
      </c>
      <c r="AO36" s="431">
        <v>9366</v>
      </c>
      <c r="AP36" s="431">
        <f>(1044+3055.47+933.88+4636.17+19.74)+(6368.88+265.06)</f>
        <v>16323.2</v>
      </c>
      <c r="AQ36" s="431">
        <v>1168</v>
      </c>
      <c r="AR36" s="431">
        <f>(261+381.04+116.46+578.16+19.74)+(794.24+33.05)</f>
        <v>2183.6899999999996</v>
      </c>
      <c r="AS36" s="431">
        <v>3407</v>
      </c>
      <c r="AT36" s="431">
        <f>(717.52+1111.47+339.71+1686.47+16.98)+(2316.76+96.42)</f>
        <v>6285.33</v>
      </c>
      <c r="AU36" s="431">
        <v>4194</v>
      </c>
      <c r="AV36" s="431">
        <f>(590.78+1368.21+418.18+2076.03+17.83)+(2851.92+118.69)</f>
        <v>7441.6400000000012</v>
      </c>
      <c r="AW36" s="431">
        <v>3311</v>
      </c>
      <c r="AX36" s="431">
        <f>4839.42+COUNTA($D$36:$D$38)/COUNTA($D$26:$D$32,$D$36:$D$38)*11114.41</f>
        <v>8173.7430000000004</v>
      </c>
      <c r="AY36" s="431">
        <v>1121</v>
      </c>
      <c r="AZ36" s="431">
        <f>1469.11+COUNTA($D$36:$D$38)/COUNTA($D$30:$D$32,$D$36:$D$38)*2570.5</f>
        <v>2754.3599999999997</v>
      </c>
      <c r="BA36" s="429">
        <f>SUM(H36:H47,J36:J47,L36:L47,N36:N47,P36:P47,R36:R47,T36:T47,V36:V47,X36:X47,Z36:Z47,AB36:AB47,AD36:AD47,AF36:AF47,AH36:AH47,AJ36:AJ47,AL36:AL47,AN36:AN47,AP36:AP47,AR36:AR47,AT36:AT47,AV36:AV47,AX36:AX47,AZ36:AZ47)</f>
        <v>797458.06299999997</v>
      </c>
      <c r="BB36" s="69"/>
      <c r="BC36" s="470"/>
      <c r="BD36" s="470"/>
      <c r="BE36" s="470"/>
      <c r="BF36" s="470"/>
      <c r="BG36" s="70"/>
    </row>
    <row r="37" spans="2:59" x14ac:dyDescent="0.25">
      <c r="D37" s="49" t="s">
        <v>20</v>
      </c>
      <c r="E37" s="68"/>
      <c r="F37" s="433"/>
      <c r="G37" s="431"/>
      <c r="H37" s="431"/>
      <c r="I37" s="431"/>
      <c r="J37" s="431"/>
      <c r="K37" s="431"/>
      <c r="L37" s="431"/>
      <c r="M37" s="431"/>
      <c r="N37" s="431"/>
      <c r="O37" s="431"/>
      <c r="P37" s="431"/>
      <c r="Q37" s="431"/>
      <c r="R37" s="431"/>
      <c r="S37" s="431"/>
      <c r="T37" s="431"/>
      <c r="U37" s="431"/>
      <c r="V37" s="431"/>
      <c r="W37" s="431"/>
      <c r="X37" s="431"/>
      <c r="Y37" s="431"/>
      <c r="Z37" s="431"/>
      <c r="AA37" s="431"/>
      <c r="AB37" s="431"/>
      <c r="AC37" s="431"/>
      <c r="AD37" s="431"/>
      <c r="AE37" s="431"/>
      <c r="AF37" s="431"/>
      <c r="AG37" s="431"/>
      <c r="AH37" s="431"/>
      <c r="AI37" s="431"/>
      <c r="AJ37" s="431"/>
      <c r="AK37" s="431"/>
      <c r="AL37" s="431"/>
      <c r="AM37" s="431"/>
      <c r="AN37" s="431"/>
      <c r="AO37" s="431"/>
      <c r="AP37" s="431"/>
      <c r="AQ37" s="431"/>
      <c r="AR37" s="431"/>
      <c r="AS37" s="431"/>
      <c r="AT37" s="431"/>
      <c r="AU37" s="431"/>
      <c r="AV37" s="431"/>
      <c r="AW37" s="431"/>
      <c r="AX37" s="431"/>
      <c r="AY37" s="431"/>
      <c r="AZ37" s="431"/>
      <c r="BA37" s="429"/>
      <c r="BB37" s="69"/>
      <c r="BC37" s="470"/>
      <c r="BD37" s="470"/>
      <c r="BE37" s="470"/>
      <c r="BF37" s="470"/>
      <c r="BG37" s="69"/>
    </row>
    <row r="38" spans="2:59" x14ac:dyDescent="0.25">
      <c r="D38" s="49" t="s">
        <v>21</v>
      </c>
      <c r="E38" s="68"/>
      <c r="F38" s="433"/>
      <c r="G38" s="431"/>
      <c r="H38" s="431"/>
      <c r="I38" s="431"/>
      <c r="J38" s="431"/>
      <c r="K38" s="431"/>
      <c r="L38" s="431"/>
      <c r="M38" s="431"/>
      <c r="N38" s="431"/>
      <c r="O38" s="431"/>
      <c r="P38" s="431"/>
      <c r="Q38" s="432"/>
      <c r="R38" s="432"/>
      <c r="S38" s="431"/>
      <c r="T38" s="431"/>
      <c r="U38" s="432"/>
      <c r="V38" s="432"/>
      <c r="W38" s="431"/>
      <c r="X38" s="431"/>
      <c r="Y38" s="432"/>
      <c r="Z38" s="432"/>
      <c r="AA38" s="432"/>
      <c r="AB38" s="432"/>
      <c r="AC38" s="432"/>
      <c r="AD38" s="432"/>
      <c r="AE38" s="431"/>
      <c r="AF38" s="431"/>
      <c r="AG38" s="431"/>
      <c r="AH38" s="431"/>
      <c r="AI38" s="431"/>
      <c r="AJ38" s="431"/>
      <c r="AK38" s="431"/>
      <c r="AL38" s="431"/>
      <c r="AM38" s="431"/>
      <c r="AN38" s="431"/>
      <c r="AO38" s="432"/>
      <c r="AP38" s="432"/>
      <c r="AQ38" s="432"/>
      <c r="AR38" s="432"/>
      <c r="AS38" s="432"/>
      <c r="AT38" s="432"/>
      <c r="AU38" s="432"/>
      <c r="AV38" s="432"/>
      <c r="AW38" s="432"/>
      <c r="AX38" s="432"/>
      <c r="AY38" s="432"/>
      <c r="AZ38" s="432"/>
      <c r="BA38" s="429"/>
      <c r="BB38" s="69"/>
      <c r="BC38" s="470"/>
      <c r="BD38" s="470"/>
      <c r="BE38" s="470"/>
      <c r="BF38" s="470"/>
      <c r="BG38" s="69"/>
    </row>
    <row r="39" spans="2:59" x14ac:dyDescent="0.25">
      <c r="D39" s="49" t="s">
        <v>22</v>
      </c>
      <c r="E39" s="68"/>
      <c r="F39" s="433"/>
      <c r="G39" s="432"/>
      <c r="H39" s="432"/>
      <c r="I39" s="432"/>
      <c r="J39" s="432"/>
      <c r="K39" s="432"/>
      <c r="L39" s="432"/>
      <c r="M39" s="432"/>
      <c r="N39" s="432"/>
      <c r="O39" s="432"/>
      <c r="P39" s="432"/>
      <c r="Q39" s="431">
        <v>1527</v>
      </c>
      <c r="R39" s="431">
        <f>3078.09+1081.57</f>
        <v>4159.66</v>
      </c>
      <c r="S39" s="432"/>
      <c r="T39" s="432"/>
      <c r="U39" s="431">
        <v>2</v>
      </c>
      <c r="V39" s="431">
        <f>1258.64+1.42</f>
        <v>1260.0600000000002</v>
      </c>
      <c r="W39" s="432"/>
      <c r="X39" s="432"/>
      <c r="Y39" s="431">
        <v>22581.599999999999</v>
      </c>
      <c r="Z39" s="431">
        <f>23449.44+15994.55</f>
        <v>39443.99</v>
      </c>
      <c r="AA39" s="431">
        <f>14511+63.8</f>
        <v>14574.8</v>
      </c>
      <c r="AB39" s="431">
        <f>15566.81+10323.33</f>
        <v>25890.14</v>
      </c>
      <c r="AC39" s="431">
        <f>29593+148.2</f>
        <v>29741.200000000001</v>
      </c>
      <c r="AD39" s="431">
        <f>29951.08+21065.7</f>
        <v>51016.78</v>
      </c>
      <c r="AE39" s="432"/>
      <c r="AF39" s="432"/>
      <c r="AG39" s="432"/>
      <c r="AH39" s="432"/>
      <c r="AI39" s="432"/>
      <c r="AJ39" s="432"/>
      <c r="AK39" s="432"/>
      <c r="AL39" s="432"/>
      <c r="AM39" s="432"/>
      <c r="AN39" s="432"/>
      <c r="AO39" s="431">
        <v>25182</v>
      </c>
      <c r="AP39" s="431">
        <f>26382.33+17836.41</f>
        <v>44218.740000000005</v>
      </c>
      <c r="AQ39" s="431">
        <v>3140</v>
      </c>
      <c r="AR39" s="431">
        <f>3733.97+2224.06</f>
        <v>5958.03</v>
      </c>
      <c r="AS39" s="431">
        <v>11101</v>
      </c>
      <c r="AT39" s="431">
        <f>12903.82+7862.84</f>
        <v>20766.66</v>
      </c>
      <c r="AU39" s="431">
        <v>12857</v>
      </c>
      <c r="AV39" s="431">
        <f>13926.88+9106.61</f>
        <v>23033.489999999998</v>
      </c>
      <c r="AW39" s="431">
        <v>14674</v>
      </c>
      <c r="AX39" s="431">
        <v>35367.58</v>
      </c>
      <c r="AY39" s="431">
        <v>2706</v>
      </c>
      <c r="AZ39" s="431">
        <v>7006.81</v>
      </c>
      <c r="BA39" s="429"/>
      <c r="BB39" s="69"/>
      <c r="BC39" s="470"/>
      <c r="BD39" s="470"/>
      <c r="BE39" s="470"/>
      <c r="BF39" s="470"/>
      <c r="BG39" s="69"/>
    </row>
    <row r="40" spans="2:59" x14ac:dyDescent="0.25">
      <c r="D40" s="49" t="s">
        <v>23</v>
      </c>
      <c r="E40" s="68"/>
      <c r="F40" s="433"/>
      <c r="G40" s="444">
        <v>4791</v>
      </c>
      <c r="H40" s="444">
        <f>5133.73+3393.47</f>
        <v>8527.1999999999989</v>
      </c>
      <c r="I40" s="444">
        <f>2941+3853.9</f>
        <v>6794.9</v>
      </c>
      <c r="J40" s="444">
        <f>7938.45+4812.83</f>
        <v>12751.279999999999</v>
      </c>
      <c r="K40" s="444">
        <v>20272</v>
      </c>
      <c r="L40" s="444">
        <f>20844.9+14358.66</f>
        <v>35203.56</v>
      </c>
      <c r="M40" s="444">
        <v>10410.700000000001</v>
      </c>
      <c r="N40" s="444">
        <f>11268.38+7373.9</f>
        <v>18642.28</v>
      </c>
      <c r="O40" s="444">
        <v>5393</v>
      </c>
      <c r="P40" s="444">
        <f>5679.06+3819.86</f>
        <v>9498.92</v>
      </c>
      <c r="Q40" s="431"/>
      <c r="R40" s="431"/>
      <c r="S40" s="444">
        <v>45538</v>
      </c>
      <c r="T40" s="444">
        <f>44833.62+32254.57</f>
        <v>77088.19</v>
      </c>
      <c r="U40" s="431"/>
      <c r="V40" s="431"/>
      <c r="W40" s="444">
        <v>5717.2</v>
      </c>
      <c r="X40" s="444">
        <f>6007.75+4049.5</f>
        <v>10057.25</v>
      </c>
      <c r="Y40" s="431"/>
      <c r="Z40" s="431"/>
      <c r="AA40" s="431"/>
      <c r="AB40" s="431"/>
      <c r="AC40" s="431"/>
      <c r="AD40" s="431"/>
      <c r="AE40" s="444">
        <v>9497</v>
      </c>
      <c r="AF40" s="444">
        <f>9485.74+6726.73</f>
        <v>16212.47</v>
      </c>
      <c r="AG40" s="444">
        <v>5799</v>
      </c>
      <c r="AH40" s="444">
        <f>7093.61+4107.43</f>
        <v>11201.04</v>
      </c>
      <c r="AI40" s="444">
        <v>28539</v>
      </c>
      <c r="AJ40" s="444">
        <f>29154.81+20214.17</f>
        <v>49368.979999999996</v>
      </c>
      <c r="AK40" s="444">
        <f>29+4339</f>
        <v>4368</v>
      </c>
      <c r="AL40" s="444">
        <f>5206.67+3093.85</f>
        <v>8300.52</v>
      </c>
      <c r="AM40" s="444">
        <f>19571+102</f>
        <v>19673</v>
      </c>
      <c r="AN40" s="444">
        <f>20919.89+13934.39</f>
        <v>34854.28</v>
      </c>
      <c r="AO40" s="431"/>
      <c r="AP40" s="431"/>
      <c r="AQ40" s="431"/>
      <c r="AR40" s="431"/>
      <c r="AS40" s="431"/>
      <c r="AT40" s="431"/>
      <c r="AU40" s="431"/>
      <c r="AV40" s="431"/>
      <c r="AW40" s="431"/>
      <c r="AX40" s="431"/>
      <c r="AY40" s="431"/>
      <c r="AZ40" s="431"/>
      <c r="BA40" s="429"/>
      <c r="BB40" s="69"/>
      <c r="BC40" s="470"/>
      <c r="BD40" s="470"/>
      <c r="BE40" s="470"/>
      <c r="BF40" s="470"/>
      <c r="BG40" s="69"/>
    </row>
    <row r="41" spans="2:59" x14ac:dyDescent="0.25">
      <c r="D41" s="49" t="s">
        <v>24</v>
      </c>
      <c r="E41" s="68"/>
      <c r="F41" s="433"/>
      <c r="G41" s="431"/>
      <c r="H41" s="431"/>
      <c r="I41" s="431"/>
      <c r="J41" s="431"/>
      <c r="K41" s="431"/>
      <c r="L41" s="431"/>
      <c r="M41" s="431"/>
      <c r="N41" s="431"/>
      <c r="O41" s="431"/>
      <c r="P41" s="431"/>
      <c r="Q41" s="431"/>
      <c r="R41" s="431"/>
      <c r="S41" s="431"/>
      <c r="T41" s="431"/>
      <c r="U41" s="431"/>
      <c r="V41" s="431"/>
      <c r="W41" s="431"/>
      <c r="X41" s="431"/>
      <c r="Y41" s="431"/>
      <c r="Z41" s="431"/>
      <c r="AA41" s="431"/>
      <c r="AB41" s="431"/>
      <c r="AC41" s="431"/>
      <c r="AD41" s="431"/>
      <c r="AE41" s="431"/>
      <c r="AF41" s="431"/>
      <c r="AG41" s="431"/>
      <c r="AH41" s="431"/>
      <c r="AI41" s="431"/>
      <c r="AJ41" s="431"/>
      <c r="AK41" s="431"/>
      <c r="AL41" s="431"/>
      <c r="AM41" s="431"/>
      <c r="AN41" s="431"/>
      <c r="AO41" s="431"/>
      <c r="AP41" s="431"/>
      <c r="AQ41" s="431"/>
      <c r="AR41" s="431"/>
      <c r="AS41" s="431"/>
      <c r="AT41" s="431"/>
      <c r="AU41" s="431"/>
      <c r="AV41" s="431"/>
      <c r="AW41" s="431"/>
      <c r="AX41" s="431"/>
      <c r="AY41" s="431"/>
      <c r="AZ41" s="431"/>
      <c r="BA41" s="429"/>
      <c r="BB41" s="69"/>
      <c r="BC41" s="470"/>
      <c r="BD41" s="470"/>
      <c r="BE41" s="470"/>
      <c r="BF41" s="470"/>
      <c r="BG41" s="69"/>
    </row>
    <row r="42" spans="2:59" x14ac:dyDescent="0.25">
      <c r="D42" s="49" t="s">
        <v>25</v>
      </c>
      <c r="E42" s="68"/>
      <c r="F42" s="433"/>
      <c r="G42" s="431"/>
      <c r="H42" s="431"/>
      <c r="I42" s="431"/>
      <c r="J42" s="431"/>
      <c r="K42" s="431"/>
      <c r="L42" s="431"/>
      <c r="M42" s="431"/>
      <c r="N42" s="431"/>
      <c r="O42" s="431"/>
      <c r="P42" s="431"/>
      <c r="Q42" s="431"/>
      <c r="R42" s="431"/>
      <c r="S42" s="431"/>
      <c r="T42" s="431"/>
      <c r="U42" s="431"/>
      <c r="V42" s="431"/>
      <c r="W42" s="431"/>
      <c r="X42" s="431"/>
      <c r="Y42" s="431"/>
      <c r="Z42" s="431"/>
      <c r="AA42" s="431"/>
      <c r="AB42" s="431"/>
      <c r="AC42" s="431"/>
      <c r="AD42" s="431"/>
      <c r="AE42" s="431"/>
      <c r="AF42" s="431"/>
      <c r="AG42" s="431"/>
      <c r="AH42" s="431"/>
      <c r="AI42" s="431"/>
      <c r="AJ42" s="431"/>
      <c r="AK42" s="431"/>
      <c r="AL42" s="431"/>
      <c r="AM42" s="431"/>
      <c r="AN42" s="431"/>
      <c r="AO42" s="431"/>
      <c r="AP42" s="431"/>
      <c r="AQ42" s="431"/>
      <c r="AR42" s="431"/>
      <c r="AS42" s="431"/>
      <c r="AT42" s="431"/>
      <c r="AU42" s="431"/>
      <c r="AV42" s="431"/>
      <c r="AW42" s="431"/>
      <c r="AX42" s="431"/>
      <c r="AY42" s="431"/>
      <c r="AZ42" s="431"/>
      <c r="BA42" s="429"/>
      <c r="BB42" s="69"/>
      <c r="BC42" s="470"/>
      <c r="BD42" s="470"/>
      <c r="BE42" s="470"/>
      <c r="BF42" s="470"/>
      <c r="BG42" s="69"/>
    </row>
    <row r="43" spans="2:59" x14ac:dyDescent="0.25">
      <c r="D43" s="49" t="s">
        <v>26</v>
      </c>
      <c r="E43" s="68"/>
      <c r="F43" s="433"/>
      <c r="G43" s="431"/>
      <c r="H43" s="431"/>
      <c r="I43" s="431"/>
      <c r="J43" s="431"/>
      <c r="K43" s="431"/>
      <c r="L43" s="431"/>
      <c r="M43" s="431"/>
      <c r="N43" s="431"/>
      <c r="O43" s="431"/>
      <c r="P43" s="431"/>
      <c r="Q43" s="431"/>
      <c r="R43" s="431"/>
      <c r="S43" s="431"/>
      <c r="T43" s="431"/>
      <c r="U43" s="431"/>
      <c r="V43" s="431"/>
      <c r="W43" s="431"/>
      <c r="X43" s="431"/>
      <c r="Y43" s="431"/>
      <c r="Z43" s="431"/>
      <c r="AA43" s="431"/>
      <c r="AB43" s="431"/>
      <c r="AC43" s="431"/>
      <c r="AD43" s="431"/>
      <c r="AE43" s="431"/>
      <c r="AF43" s="431"/>
      <c r="AG43" s="431"/>
      <c r="AH43" s="431"/>
      <c r="AI43" s="431"/>
      <c r="AJ43" s="431"/>
      <c r="AK43" s="431"/>
      <c r="AL43" s="431"/>
      <c r="AM43" s="431"/>
      <c r="AN43" s="431"/>
      <c r="AO43" s="431"/>
      <c r="AP43" s="431"/>
      <c r="AQ43" s="431"/>
      <c r="AR43" s="431"/>
      <c r="AS43" s="431"/>
      <c r="AT43" s="431"/>
      <c r="AU43" s="431"/>
      <c r="AV43" s="431"/>
      <c r="AW43" s="431"/>
      <c r="AX43" s="431"/>
      <c r="AY43" s="431"/>
      <c r="AZ43" s="431"/>
      <c r="BA43" s="429"/>
      <c r="BB43" s="69"/>
      <c r="BC43" s="470"/>
      <c r="BD43" s="470"/>
      <c r="BE43" s="470"/>
      <c r="BF43" s="470"/>
      <c r="BG43" s="69"/>
    </row>
    <row r="44" spans="2:59" x14ac:dyDescent="0.25">
      <c r="D44" s="49" t="s">
        <v>27</v>
      </c>
      <c r="E44" s="68"/>
      <c r="F44" s="433"/>
      <c r="G44" s="431"/>
      <c r="H44" s="431"/>
      <c r="I44" s="431"/>
      <c r="J44" s="431"/>
      <c r="K44" s="431"/>
      <c r="L44" s="431"/>
      <c r="M44" s="431"/>
      <c r="N44" s="431"/>
      <c r="O44" s="431"/>
      <c r="P44" s="431"/>
      <c r="Q44" s="431"/>
      <c r="R44" s="431"/>
      <c r="S44" s="431"/>
      <c r="T44" s="431"/>
      <c r="U44" s="431"/>
      <c r="V44" s="431"/>
      <c r="W44" s="431"/>
      <c r="X44" s="431"/>
      <c r="Y44" s="431"/>
      <c r="Z44" s="431"/>
      <c r="AA44" s="431"/>
      <c r="AB44" s="431"/>
      <c r="AC44" s="431"/>
      <c r="AD44" s="431"/>
      <c r="AE44" s="431"/>
      <c r="AF44" s="431"/>
      <c r="AG44" s="431"/>
      <c r="AH44" s="431"/>
      <c r="AI44" s="431"/>
      <c r="AJ44" s="431"/>
      <c r="AK44" s="431"/>
      <c r="AL44" s="431"/>
      <c r="AM44" s="431"/>
      <c r="AN44" s="431"/>
      <c r="AO44" s="431"/>
      <c r="AP44" s="431"/>
      <c r="AQ44" s="431"/>
      <c r="AR44" s="431"/>
      <c r="AS44" s="431"/>
      <c r="AT44" s="431"/>
      <c r="AU44" s="431"/>
      <c r="AV44" s="431"/>
      <c r="AW44" s="431"/>
      <c r="AX44" s="431"/>
      <c r="AY44" s="431"/>
      <c r="AZ44" s="431"/>
      <c r="BA44" s="429"/>
      <c r="BB44" s="69"/>
      <c r="BC44" s="470"/>
      <c r="BD44" s="470"/>
      <c r="BE44" s="470"/>
      <c r="BF44" s="470"/>
      <c r="BG44" s="69"/>
    </row>
    <row r="45" spans="2:59" x14ac:dyDescent="0.25">
      <c r="D45" s="49" t="s">
        <v>28</v>
      </c>
      <c r="E45" s="68"/>
      <c r="F45" s="433"/>
      <c r="G45" s="431"/>
      <c r="H45" s="431"/>
      <c r="I45" s="431"/>
      <c r="J45" s="431"/>
      <c r="K45" s="431"/>
      <c r="L45" s="431"/>
      <c r="M45" s="431"/>
      <c r="N45" s="431"/>
      <c r="O45" s="431"/>
      <c r="P45" s="431"/>
      <c r="Q45" s="431"/>
      <c r="R45" s="431"/>
      <c r="S45" s="431"/>
      <c r="T45" s="431"/>
      <c r="U45" s="431"/>
      <c r="V45" s="431"/>
      <c r="W45" s="431"/>
      <c r="X45" s="431"/>
      <c r="Y45" s="431"/>
      <c r="Z45" s="431"/>
      <c r="AA45" s="431"/>
      <c r="AB45" s="431"/>
      <c r="AC45" s="431"/>
      <c r="AD45" s="431"/>
      <c r="AE45" s="431"/>
      <c r="AF45" s="431"/>
      <c r="AG45" s="431"/>
      <c r="AH45" s="431"/>
      <c r="AI45" s="431"/>
      <c r="AJ45" s="431"/>
      <c r="AK45" s="431"/>
      <c r="AL45" s="431"/>
      <c r="AM45" s="431"/>
      <c r="AN45" s="431"/>
      <c r="AO45" s="431"/>
      <c r="AP45" s="431"/>
      <c r="AQ45" s="431"/>
      <c r="AR45" s="431"/>
      <c r="AS45" s="431"/>
      <c r="AT45" s="431"/>
      <c r="AU45" s="431"/>
      <c r="AV45" s="431"/>
      <c r="AW45" s="431"/>
      <c r="AX45" s="431"/>
      <c r="AY45" s="431"/>
      <c r="AZ45" s="431"/>
      <c r="BA45" s="429"/>
      <c r="BB45" s="69"/>
      <c r="BC45" s="470"/>
      <c r="BD45" s="470"/>
      <c r="BE45" s="470"/>
      <c r="BF45" s="470"/>
      <c r="BG45" s="69"/>
    </row>
    <row r="46" spans="2:59" x14ac:dyDescent="0.25">
      <c r="D46" s="49" t="s">
        <v>29</v>
      </c>
      <c r="E46" s="68"/>
      <c r="F46" s="433"/>
      <c r="G46" s="431"/>
      <c r="H46" s="431"/>
      <c r="I46" s="431"/>
      <c r="J46" s="431"/>
      <c r="K46" s="431"/>
      <c r="L46" s="431"/>
      <c r="M46" s="431"/>
      <c r="N46" s="431"/>
      <c r="O46" s="431"/>
      <c r="P46" s="431"/>
      <c r="Q46" s="431"/>
      <c r="R46" s="431"/>
      <c r="S46" s="431"/>
      <c r="T46" s="431"/>
      <c r="U46" s="431"/>
      <c r="V46" s="431"/>
      <c r="W46" s="431"/>
      <c r="X46" s="431"/>
      <c r="Y46" s="431"/>
      <c r="Z46" s="431"/>
      <c r="AA46" s="431"/>
      <c r="AB46" s="431"/>
      <c r="AC46" s="431"/>
      <c r="AD46" s="431"/>
      <c r="AE46" s="431"/>
      <c r="AF46" s="431"/>
      <c r="AG46" s="431"/>
      <c r="AH46" s="431"/>
      <c r="AI46" s="431"/>
      <c r="AJ46" s="431"/>
      <c r="AK46" s="431"/>
      <c r="AL46" s="431"/>
      <c r="AM46" s="431"/>
      <c r="AN46" s="431"/>
      <c r="AO46" s="431"/>
      <c r="AP46" s="431"/>
      <c r="AQ46" s="431"/>
      <c r="AR46" s="431"/>
      <c r="AS46" s="431"/>
      <c r="AT46" s="431"/>
      <c r="AU46" s="431"/>
      <c r="AV46" s="431"/>
      <c r="AW46" s="431"/>
      <c r="AX46" s="431"/>
      <c r="AY46" s="431"/>
      <c r="AZ46" s="431"/>
      <c r="BA46" s="429"/>
      <c r="BB46" s="69"/>
      <c r="BC46" s="470"/>
      <c r="BD46" s="470"/>
      <c r="BE46" s="470"/>
      <c r="BF46" s="470"/>
      <c r="BG46" s="69"/>
    </row>
    <row r="47" spans="2:59" x14ac:dyDescent="0.25">
      <c r="D47" s="49" t="s">
        <v>30</v>
      </c>
      <c r="E47" s="68"/>
      <c r="F47" s="447"/>
      <c r="G47" s="445"/>
      <c r="H47" s="445"/>
      <c r="I47" s="445"/>
      <c r="J47" s="445"/>
      <c r="K47" s="445"/>
      <c r="L47" s="445"/>
      <c r="M47" s="445"/>
      <c r="N47" s="445"/>
      <c r="O47" s="445"/>
      <c r="P47" s="445"/>
      <c r="Q47" s="445"/>
      <c r="R47" s="445"/>
      <c r="S47" s="445"/>
      <c r="T47" s="445"/>
      <c r="U47" s="445"/>
      <c r="V47" s="445"/>
      <c r="W47" s="445"/>
      <c r="X47" s="445"/>
      <c r="Y47" s="445"/>
      <c r="Z47" s="445"/>
      <c r="AA47" s="445"/>
      <c r="AB47" s="445"/>
      <c r="AC47" s="445"/>
      <c r="AD47" s="445"/>
      <c r="AE47" s="445"/>
      <c r="AF47" s="445"/>
      <c r="AG47" s="445"/>
      <c r="AH47" s="445"/>
      <c r="AI47" s="445"/>
      <c r="AJ47" s="445"/>
      <c r="AK47" s="445"/>
      <c r="AL47" s="445"/>
      <c r="AM47" s="445"/>
      <c r="AN47" s="445"/>
      <c r="AO47" s="445"/>
      <c r="AP47" s="445"/>
      <c r="AQ47" s="445"/>
      <c r="AR47" s="445"/>
      <c r="AS47" s="445"/>
      <c r="AT47" s="445"/>
      <c r="AU47" s="445"/>
      <c r="AV47" s="445"/>
      <c r="AW47" s="445"/>
      <c r="AX47" s="445"/>
      <c r="AY47" s="445"/>
      <c r="AZ47" s="445"/>
      <c r="BA47" s="430"/>
      <c r="BB47" s="50"/>
      <c r="BC47" s="471"/>
      <c r="BD47" s="471"/>
      <c r="BE47" s="471"/>
      <c r="BF47" s="471"/>
      <c r="BG47" s="69"/>
    </row>
    <row r="48" spans="2:59" x14ac:dyDescent="0.25">
      <c r="B48" s="52"/>
      <c r="C48" s="52"/>
      <c r="D48" s="53"/>
      <c r="E48" s="75"/>
      <c r="F48" s="54">
        <f>SUM(F36:F47)</f>
        <v>444884.9</v>
      </c>
      <c r="G48" s="358">
        <f t="shared" ref="G48:AY48" si="3">SUM(G36:G47)</f>
        <v>7628</v>
      </c>
      <c r="H48" s="54"/>
      <c r="I48" s="358">
        <f t="shared" si="3"/>
        <v>11226.5</v>
      </c>
      <c r="J48" s="54"/>
      <c r="K48" s="358">
        <f t="shared" si="3"/>
        <v>32532</v>
      </c>
      <c r="L48" s="54"/>
      <c r="M48" s="358">
        <f t="shared" si="3"/>
        <v>17046.7</v>
      </c>
      <c r="N48" s="54"/>
      <c r="O48" s="358">
        <f t="shared" si="3"/>
        <v>8690</v>
      </c>
      <c r="P48" s="54"/>
      <c r="Q48" s="358">
        <f t="shared" si="3"/>
        <v>2033</v>
      </c>
      <c r="R48" s="54"/>
      <c r="S48" s="358">
        <f t="shared" si="3"/>
        <v>68623</v>
      </c>
      <c r="T48" s="54"/>
      <c r="U48" s="358">
        <f t="shared" si="3"/>
        <v>3</v>
      </c>
      <c r="V48" s="54"/>
      <c r="W48" s="358">
        <f t="shared" si="3"/>
        <v>8856.4</v>
      </c>
      <c r="X48" s="54"/>
      <c r="Y48" s="358">
        <f t="shared" si="3"/>
        <v>29837.399999999998</v>
      </c>
      <c r="Z48" s="54"/>
      <c r="AA48" s="358">
        <f t="shared" si="3"/>
        <v>19015.099999999999</v>
      </c>
      <c r="AB48" s="54"/>
      <c r="AC48" s="358">
        <f t="shared" si="3"/>
        <v>42244.800000000003</v>
      </c>
      <c r="AD48" s="54"/>
      <c r="AE48" s="358">
        <f t="shared" si="3"/>
        <v>14769</v>
      </c>
      <c r="AF48" s="54"/>
      <c r="AG48" s="358">
        <f t="shared" si="3"/>
        <v>9124</v>
      </c>
      <c r="AH48" s="54"/>
      <c r="AI48" s="358">
        <f t="shared" si="3"/>
        <v>43348</v>
      </c>
      <c r="AJ48" s="54"/>
      <c r="AK48" s="358">
        <f t="shared" si="3"/>
        <v>6611</v>
      </c>
      <c r="AL48" s="54"/>
      <c r="AM48" s="358">
        <f t="shared" si="3"/>
        <v>31070</v>
      </c>
      <c r="AN48" s="54"/>
      <c r="AO48" s="358">
        <f t="shared" si="3"/>
        <v>34548</v>
      </c>
      <c r="AP48" s="54"/>
      <c r="AQ48" s="358">
        <f t="shared" si="3"/>
        <v>4308</v>
      </c>
      <c r="AR48" s="54"/>
      <c r="AS48" s="358">
        <f t="shared" si="3"/>
        <v>14508</v>
      </c>
      <c r="AT48" s="54"/>
      <c r="AU48" s="358">
        <f t="shared" si="3"/>
        <v>17051</v>
      </c>
      <c r="AV48" s="54"/>
      <c r="AW48" s="358">
        <f t="shared" si="3"/>
        <v>17985</v>
      </c>
      <c r="AX48" s="54"/>
      <c r="AY48" s="358">
        <f t="shared" si="3"/>
        <v>3827</v>
      </c>
      <c r="AZ48" s="54"/>
      <c r="BA48" s="54">
        <f>SUM(BA36:BA47)</f>
        <v>797458.06299999997</v>
      </c>
      <c r="BB48" s="54"/>
      <c r="BC48" s="54"/>
      <c r="BD48" s="54"/>
      <c r="BE48" s="54"/>
      <c r="BF48" s="54">
        <f t="shared" ref="BF48" si="4">SUM(BF36:BF47)</f>
        <v>0</v>
      </c>
      <c r="BG48" s="55"/>
    </row>
    <row r="49" spans="1:59" ht="15.75" x14ac:dyDescent="0.25">
      <c r="B49" s="56">
        <f>B34+1</f>
        <v>2016</v>
      </c>
      <c r="C49" s="57"/>
      <c r="D49" s="58" t="s">
        <v>35</v>
      </c>
      <c r="E49" s="77"/>
      <c r="F49" s="59">
        <v>0.21</v>
      </c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60">
        <f>BA48*(1+F49)</f>
        <v>964924.25622999994</v>
      </c>
      <c r="BB49" s="51"/>
      <c r="BC49" s="59"/>
      <c r="BD49" s="59"/>
      <c r="BE49" s="59"/>
      <c r="BF49" s="60">
        <f>BF48*(1+F49)</f>
        <v>0</v>
      </c>
      <c r="BG49" s="51"/>
    </row>
    <row r="51" spans="1:59" x14ac:dyDescent="0.25">
      <c r="B51" s="41" t="s">
        <v>36</v>
      </c>
      <c r="BA51" s="43"/>
      <c r="BB51" s="88"/>
      <c r="BC51" s="43"/>
      <c r="BD51" s="43"/>
      <c r="BE51" s="43"/>
      <c r="BF51" s="43"/>
      <c r="BG51" s="88"/>
    </row>
    <row r="52" spans="1:59" x14ac:dyDescent="0.25">
      <c r="B52" s="89"/>
    </row>
    <row r="53" spans="1:59" x14ac:dyDescent="0.25">
      <c r="B53" s="89"/>
    </row>
    <row r="54" spans="1:59" x14ac:dyDescent="0.25">
      <c r="B54" s="329"/>
    </row>
    <row r="55" spans="1:59" x14ac:dyDescent="0.25">
      <c r="A55" s="89"/>
      <c r="B55" s="89"/>
    </row>
    <row r="56" spans="1:59" x14ac:dyDescent="0.25">
      <c r="B56" s="89"/>
    </row>
    <row r="57" spans="1:59" x14ac:dyDescent="0.25">
      <c r="B57" s="91"/>
    </row>
    <row r="58" spans="1:59" x14ac:dyDescent="0.25">
      <c r="B58" s="91"/>
    </row>
    <row r="59" spans="1:59" x14ac:dyDescent="0.25">
      <c r="B59" s="91"/>
    </row>
    <row r="60" spans="1:59" x14ac:dyDescent="0.25">
      <c r="B60" s="91"/>
    </row>
    <row r="61" spans="1:59" x14ac:dyDescent="0.25">
      <c r="B61" s="91"/>
    </row>
  </sheetData>
  <mergeCells count="266">
    <mergeCell ref="BC36:BC47"/>
    <mergeCell ref="BD36:BD47"/>
    <mergeCell ref="BE36:BE47"/>
    <mergeCell ref="BF36:BF47"/>
    <mergeCell ref="BC2:BF3"/>
    <mergeCell ref="BF6:BF17"/>
    <mergeCell ref="BF21:BF32"/>
    <mergeCell ref="BC6:BC17"/>
    <mergeCell ref="BD6:BD17"/>
    <mergeCell ref="BE6:BE17"/>
    <mergeCell ref="BC21:BC32"/>
    <mergeCell ref="BD21:BD32"/>
    <mergeCell ref="BE21:BE32"/>
    <mergeCell ref="F6:F17"/>
    <mergeCell ref="F21:F32"/>
    <mergeCell ref="AU9:AU17"/>
    <mergeCell ref="AU21:AU23"/>
    <mergeCell ref="AS9:AS17"/>
    <mergeCell ref="AS21:AS23"/>
    <mergeCell ref="Q9:Q17"/>
    <mergeCell ref="Q21:Q23"/>
    <mergeCell ref="Y9:Y17"/>
    <mergeCell ref="Y21:Y23"/>
    <mergeCell ref="AO9:AO17"/>
    <mergeCell ref="AO21:AO23"/>
    <mergeCell ref="AQ9:AQ17"/>
    <mergeCell ref="AQ21:AQ23"/>
    <mergeCell ref="AC9:AC17"/>
    <mergeCell ref="AC21:AC23"/>
    <mergeCell ref="AA9:AA17"/>
    <mergeCell ref="AA21:AA23"/>
    <mergeCell ref="S10:S17"/>
    <mergeCell ref="S21:S24"/>
    <mergeCell ref="AI10:AI17"/>
    <mergeCell ref="AI21:AI24"/>
    <mergeCell ref="U21:U23"/>
    <mergeCell ref="AG10:AG17"/>
    <mergeCell ref="AG21:AG24"/>
    <mergeCell ref="W10:W17"/>
    <mergeCell ref="W21:W24"/>
    <mergeCell ref="AE10:AE17"/>
    <mergeCell ref="AE21:AE24"/>
    <mergeCell ref="G10:G17"/>
    <mergeCell ref="G21:G24"/>
    <mergeCell ref="M10:M17"/>
    <mergeCell ref="M21:M24"/>
    <mergeCell ref="I10:I17"/>
    <mergeCell ref="I21:I24"/>
    <mergeCell ref="K10:K17"/>
    <mergeCell ref="K21:K24"/>
    <mergeCell ref="O10:O17"/>
    <mergeCell ref="O21:O24"/>
    <mergeCell ref="G6:G9"/>
    <mergeCell ref="M6:M9"/>
    <mergeCell ref="I6:I9"/>
    <mergeCell ref="S6:S9"/>
    <mergeCell ref="AI6:AI9"/>
    <mergeCell ref="AG6:AG9"/>
    <mergeCell ref="W6:W9"/>
    <mergeCell ref="AE6:AE9"/>
    <mergeCell ref="K6:K9"/>
    <mergeCell ref="U9:U17"/>
    <mergeCell ref="AS39:AS47"/>
    <mergeCell ref="AT39:AT47"/>
    <mergeCell ref="AU4:AV4"/>
    <mergeCell ref="AU36:AU38"/>
    <mergeCell ref="AV36:AV38"/>
    <mergeCell ref="AU39:AU47"/>
    <mergeCell ref="AV39:AV47"/>
    <mergeCell ref="AS4:AT4"/>
    <mergeCell ref="AO36:AO38"/>
    <mergeCell ref="AP36:AP38"/>
    <mergeCell ref="AQ36:AQ38"/>
    <mergeCell ref="AR36:AR38"/>
    <mergeCell ref="AS36:AS38"/>
    <mergeCell ref="AT36:AT38"/>
    <mergeCell ref="AO39:AO47"/>
    <mergeCell ref="AP39:AP47"/>
    <mergeCell ref="AO4:AP4"/>
    <mergeCell ref="AQ4:AR4"/>
    <mergeCell ref="AQ39:AQ47"/>
    <mergeCell ref="AR39:AR47"/>
    <mergeCell ref="AU24:AU32"/>
    <mergeCell ref="AV24:AV32"/>
    <mergeCell ref="AQ24:AQ32"/>
    <mergeCell ref="AR24:AR32"/>
    <mergeCell ref="AM36:AM39"/>
    <mergeCell ref="AN36:AN39"/>
    <mergeCell ref="AM40:AM47"/>
    <mergeCell ref="AN40:AN47"/>
    <mergeCell ref="AM4:AN4"/>
    <mergeCell ref="AM25:AM32"/>
    <mergeCell ref="AN25:AN32"/>
    <mergeCell ref="AK36:AK39"/>
    <mergeCell ref="AL36:AL39"/>
    <mergeCell ref="AK40:AK47"/>
    <mergeCell ref="AL40:AL47"/>
    <mergeCell ref="AK4:AL4"/>
    <mergeCell ref="AK10:AK17"/>
    <mergeCell ref="AK21:AK24"/>
    <mergeCell ref="AM10:AM17"/>
    <mergeCell ref="AM21:AM24"/>
    <mergeCell ref="AK6:AK9"/>
    <mergeCell ref="AM6:AM9"/>
    <mergeCell ref="G40:G47"/>
    <mergeCell ref="H40:H47"/>
    <mergeCell ref="AG4:AH4"/>
    <mergeCell ref="AG40:AG47"/>
    <mergeCell ref="AH40:AH47"/>
    <mergeCell ref="AC4:AD4"/>
    <mergeCell ref="AC39:AC47"/>
    <mergeCell ref="AD39:AD47"/>
    <mergeCell ref="AE4:AF4"/>
    <mergeCell ref="AE36:AE39"/>
    <mergeCell ref="AF36:AF39"/>
    <mergeCell ref="AE40:AE47"/>
    <mergeCell ref="AF40:AF47"/>
    <mergeCell ref="AE25:AE32"/>
    <mergeCell ref="AF25:AF32"/>
    <mergeCell ref="AC36:AC38"/>
    <mergeCell ref="AD36:AD38"/>
    <mergeCell ref="AA4:AB4"/>
    <mergeCell ref="K40:K47"/>
    <mergeCell ref="L40:L47"/>
    <mergeCell ref="AB24:AB32"/>
    <mergeCell ref="Q24:Q32"/>
    <mergeCell ref="AA6:AA8"/>
    <mergeCell ref="U6:U8"/>
    <mergeCell ref="AI40:AI47"/>
    <mergeCell ref="AJ40:AJ47"/>
    <mergeCell ref="AG36:AG39"/>
    <mergeCell ref="AH36:AH39"/>
    <mergeCell ref="AI36:AI39"/>
    <mergeCell ref="AJ36:AJ39"/>
    <mergeCell ref="AI25:AI32"/>
    <mergeCell ref="AJ25:AJ32"/>
    <mergeCell ref="AG25:AG32"/>
    <mergeCell ref="AH25:AH32"/>
    <mergeCell ref="I40:I47"/>
    <mergeCell ref="J40:J47"/>
    <mergeCell ref="AB39:AB47"/>
    <mergeCell ref="O40:O47"/>
    <mergeCell ref="P40:P47"/>
    <mergeCell ref="W25:W32"/>
    <mergeCell ref="X25:X32"/>
    <mergeCell ref="S25:S32"/>
    <mergeCell ref="T25:T32"/>
    <mergeCell ref="Y24:Y32"/>
    <mergeCell ref="Z24:Z32"/>
    <mergeCell ref="AA24:AA32"/>
    <mergeCell ref="O25:O32"/>
    <mergeCell ref="P25:P32"/>
    <mergeCell ref="O36:O39"/>
    <mergeCell ref="P36:P39"/>
    <mergeCell ref="R24:R32"/>
    <mergeCell ref="U24:U32"/>
    <mergeCell ref="V24:V32"/>
    <mergeCell ref="M40:M47"/>
    <mergeCell ref="N40:N47"/>
    <mergeCell ref="AA36:AA38"/>
    <mergeCell ref="AB36:AB38"/>
    <mergeCell ref="AA39:AA47"/>
    <mergeCell ref="I36:I39"/>
    <mergeCell ref="J36:J39"/>
    <mergeCell ref="K4:L4"/>
    <mergeCell ref="K25:K32"/>
    <mergeCell ref="L25:L32"/>
    <mergeCell ref="K36:K39"/>
    <mergeCell ref="L36:L39"/>
    <mergeCell ref="S4:T4"/>
    <mergeCell ref="U4:V4"/>
    <mergeCell ref="Q4:R4"/>
    <mergeCell ref="Q39:Q47"/>
    <mergeCell ref="R39:R47"/>
    <mergeCell ref="Q36:Q38"/>
    <mergeCell ref="R36:R38"/>
    <mergeCell ref="U39:U47"/>
    <mergeCell ref="V39:V47"/>
    <mergeCell ref="U36:U38"/>
    <mergeCell ref="V36:V38"/>
    <mergeCell ref="S36:S39"/>
    <mergeCell ref="T36:T39"/>
    <mergeCell ref="S40:S47"/>
    <mergeCell ref="N36:N39"/>
    <mergeCell ref="T40:T47"/>
    <mergeCell ref="O6:O9"/>
    <mergeCell ref="Y36:Y38"/>
    <mergeCell ref="Z36:Z38"/>
    <mergeCell ref="Y39:Y47"/>
    <mergeCell ref="Z39:Z47"/>
    <mergeCell ref="W4:X4"/>
    <mergeCell ref="W36:W39"/>
    <mergeCell ref="X36:X39"/>
    <mergeCell ref="W40:W47"/>
    <mergeCell ref="X40:X47"/>
    <mergeCell ref="D2:D4"/>
    <mergeCell ref="F2:BA2"/>
    <mergeCell ref="AK25:AK32"/>
    <mergeCell ref="AL25:AL32"/>
    <mergeCell ref="AS24:AS32"/>
    <mergeCell ref="AT24:AT32"/>
    <mergeCell ref="AW26:AW32"/>
    <mergeCell ref="AX26:AX32"/>
    <mergeCell ref="J25:J32"/>
    <mergeCell ref="AI4:AJ4"/>
    <mergeCell ref="AC24:AC32"/>
    <mergeCell ref="AD24:AD32"/>
    <mergeCell ref="AO24:AO32"/>
    <mergeCell ref="AP24:AP32"/>
    <mergeCell ref="AZ30:AZ32"/>
    <mergeCell ref="AQ6:AQ8"/>
    <mergeCell ref="AC6:AC8"/>
    <mergeCell ref="AS6:AS8"/>
    <mergeCell ref="Q6:Q8"/>
    <mergeCell ref="Y6:Y8"/>
    <mergeCell ref="AO6:AO8"/>
    <mergeCell ref="AU6:AU8"/>
    <mergeCell ref="AY30:AY32"/>
    <mergeCell ref="M4:N4"/>
    <mergeCell ref="AY39:AY47"/>
    <mergeCell ref="AZ39:AZ47"/>
    <mergeCell ref="F36:F47"/>
    <mergeCell ref="BA36:BA47"/>
    <mergeCell ref="G4:H4"/>
    <mergeCell ref="I4:J4"/>
    <mergeCell ref="O4:P4"/>
    <mergeCell ref="AW4:AX4"/>
    <mergeCell ref="AY4:AZ4"/>
    <mergeCell ref="G36:G39"/>
    <mergeCell ref="H36:H39"/>
    <mergeCell ref="G25:G32"/>
    <mergeCell ref="H25:H32"/>
    <mergeCell ref="I25:I32"/>
    <mergeCell ref="AW36:AW38"/>
    <mergeCell ref="AX36:AX38"/>
    <mergeCell ref="AW39:AW47"/>
    <mergeCell ref="AX39:AX47"/>
    <mergeCell ref="AY36:AY38"/>
    <mergeCell ref="AZ36:AZ38"/>
    <mergeCell ref="M25:M32"/>
    <mergeCell ref="N25:N32"/>
    <mergeCell ref="M36:M39"/>
    <mergeCell ref="Y4:Z4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AQ3:AR3"/>
    <mergeCell ref="AS3:AT3"/>
    <mergeCell ref="AU3:AV3"/>
    <mergeCell ref="AW3:AX3"/>
    <mergeCell ref="AY3:AZ3"/>
    <mergeCell ref="Y3:Z3"/>
    <mergeCell ref="AA3:AB3"/>
    <mergeCell ref="AC3:AD3"/>
    <mergeCell ref="AE3:AF3"/>
    <mergeCell ref="AG3:AH3"/>
    <mergeCell ref="AI3:AJ3"/>
    <mergeCell ref="AK3:AL3"/>
    <mergeCell ref="AM3:AN3"/>
    <mergeCell ref="AO3:AP3"/>
  </mergeCells>
  <pageMargins left="0.70866141732283472" right="0.70866141732283472" top="0.78740157480314965" bottom="0.78740157480314965" header="0.31496062992125984" footer="0.31496062992125984"/>
  <pageSetup paperSize="9" scale="11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H172"/>
  <sheetViews>
    <sheetView workbookViewId="0">
      <pane ySplit="4" topLeftCell="A5" activePane="bottomLeft" state="frozen"/>
      <selection pane="bottomLeft" activeCell="C147" sqref="C147"/>
    </sheetView>
  </sheetViews>
  <sheetFormatPr defaultRowHeight="12.75" outlineLevelRow="2" outlineLevelCol="1" x14ac:dyDescent="0.25"/>
  <cols>
    <col min="1" max="1" width="1" style="3" customWidth="1"/>
    <col min="2" max="2" width="4.7109375" style="3" customWidth="1"/>
    <col min="3" max="3" width="27.28515625" style="3" bestFit="1" customWidth="1"/>
    <col min="4" max="4" width="9.85546875" style="3" customWidth="1"/>
    <col min="5" max="5" width="9.140625" style="3"/>
    <col min="6" max="6" width="12.140625" style="3" customWidth="1"/>
    <col min="7" max="7" width="0.85546875" style="3" customWidth="1"/>
    <col min="8" max="8" width="9.140625" style="3"/>
    <col min="9" max="10" width="9.140625" style="3" hidden="1" customWidth="1" outlineLevel="1"/>
    <col min="11" max="11" width="10.28515625" style="3" bestFit="1" customWidth="1" collapsed="1"/>
    <col min="12" max="12" width="10.42578125" style="3" customWidth="1"/>
    <col min="13" max="13" width="0.7109375" style="3" customWidth="1"/>
    <col min="14" max="14" width="10" style="3" customWidth="1"/>
    <col min="15" max="16" width="9.140625" style="3" hidden="1" customWidth="1" outlineLevel="1"/>
    <col min="17" max="17" width="10" style="3" customWidth="1" collapsed="1"/>
    <col min="18" max="18" width="10" style="3" customWidth="1"/>
    <col min="19" max="19" width="0.85546875" style="3" customWidth="1"/>
    <col min="20" max="20" width="9.140625" style="3"/>
    <col min="21" max="21" width="7.85546875" style="3" customWidth="1"/>
    <col min="22" max="22" width="7.140625" style="3" hidden="1" customWidth="1" outlineLevel="1"/>
    <col min="23" max="23" width="8.42578125" style="3" hidden="1" customWidth="1" outlineLevel="1"/>
    <col min="24" max="24" width="5.85546875" style="3" hidden="1" customWidth="1" outlineLevel="1"/>
    <col min="25" max="25" width="6.140625" style="3" hidden="1" customWidth="1" outlineLevel="1"/>
    <col min="26" max="26" width="16.28515625" style="3" bestFit="1" customWidth="1" collapsed="1"/>
    <col min="27" max="27" width="8.85546875" style="3" bestFit="1" customWidth="1"/>
    <col min="28" max="28" width="0.85546875" style="3" customWidth="1"/>
    <col min="29" max="29" width="8.7109375" style="3" customWidth="1"/>
    <col min="30" max="30" width="9.42578125" style="3" customWidth="1"/>
    <col min="31" max="31" width="8.85546875" style="3" bestFit="1" customWidth="1"/>
    <col min="32" max="32" width="0.85546875" style="3" customWidth="1"/>
    <col min="33" max="33" width="11.7109375" style="3" customWidth="1"/>
    <col min="34" max="34" width="13.28515625" style="3" customWidth="1"/>
    <col min="35" max="16384" width="9.140625" style="3"/>
  </cols>
  <sheetData>
    <row r="2" spans="2:34" ht="15.75" x14ac:dyDescent="0.25">
      <c r="C2" s="2" t="s">
        <v>17</v>
      </c>
      <c r="F2" s="448" t="s">
        <v>32</v>
      </c>
      <c r="H2" s="450" t="s">
        <v>10</v>
      </c>
      <c r="I2" s="450"/>
      <c r="J2" s="450"/>
      <c r="K2" s="450"/>
      <c r="L2" s="450"/>
      <c r="N2" s="451" t="s">
        <v>5</v>
      </c>
      <c r="O2" s="451"/>
      <c r="P2" s="451"/>
      <c r="Q2" s="451"/>
      <c r="R2" s="451"/>
      <c r="T2" s="453" t="s">
        <v>11</v>
      </c>
      <c r="U2" s="453"/>
      <c r="V2" s="453"/>
      <c r="W2" s="453"/>
      <c r="X2" s="453"/>
      <c r="Y2" s="453"/>
      <c r="Z2" s="453"/>
      <c r="AA2" s="453"/>
      <c r="AC2" s="452" t="s">
        <v>12</v>
      </c>
      <c r="AD2" s="452"/>
      <c r="AE2" s="452"/>
      <c r="AG2" s="475" t="s">
        <v>16</v>
      </c>
      <c r="AH2" s="475"/>
    </row>
    <row r="3" spans="2:34" x14ac:dyDescent="0.25">
      <c r="C3" s="16">
        <v>2015</v>
      </c>
      <c r="F3" s="448"/>
      <c r="G3" s="32"/>
      <c r="H3" s="4" t="s">
        <v>3</v>
      </c>
      <c r="I3" s="4" t="s">
        <v>6</v>
      </c>
      <c r="J3" s="4" t="s">
        <v>7</v>
      </c>
      <c r="K3" s="474" t="s">
        <v>15</v>
      </c>
      <c r="L3" s="474"/>
      <c r="N3" s="5" t="s">
        <v>3</v>
      </c>
      <c r="O3" s="5" t="s">
        <v>6</v>
      </c>
      <c r="P3" s="5" t="s">
        <v>7</v>
      </c>
      <c r="Q3" s="473" t="s">
        <v>15</v>
      </c>
      <c r="R3" s="473"/>
      <c r="T3" s="457" t="s">
        <v>3</v>
      </c>
      <c r="U3" s="457"/>
      <c r="V3" s="457" t="s">
        <v>6</v>
      </c>
      <c r="W3" s="457"/>
      <c r="X3" s="457" t="s">
        <v>7</v>
      </c>
      <c r="Y3" s="457"/>
      <c r="Z3" s="478" t="s">
        <v>15</v>
      </c>
      <c r="AA3" s="478"/>
      <c r="AC3" s="6" t="s">
        <v>13</v>
      </c>
      <c r="AD3" s="477" t="s">
        <v>15</v>
      </c>
      <c r="AE3" s="477"/>
      <c r="AG3" s="476" t="s">
        <v>15</v>
      </c>
      <c r="AH3" s="476"/>
    </row>
    <row r="4" spans="2:34" ht="15" x14ac:dyDescent="0.25">
      <c r="F4" s="449"/>
      <c r="G4" s="33"/>
      <c r="H4" s="7" t="s">
        <v>0</v>
      </c>
      <c r="I4" s="7" t="str">
        <f>H4</f>
        <v>GJ</v>
      </c>
      <c r="J4" s="7" t="str">
        <f>H4</f>
        <v>GJ</v>
      </c>
      <c r="K4" s="8" t="s">
        <v>8</v>
      </c>
      <c r="L4" s="8" t="s">
        <v>9</v>
      </c>
      <c r="N4" s="9" t="s">
        <v>2</v>
      </c>
      <c r="O4" s="9" t="str">
        <f>N4</f>
        <v>kWh</v>
      </c>
      <c r="P4" s="9" t="str">
        <f>N4</f>
        <v>kWh</v>
      </c>
      <c r="Q4" s="10" t="s">
        <v>8</v>
      </c>
      <c r="R4" s="10" t="s">
        <v>9</v>
      </c>
      <c r="T4" s="11" t="s">
        <v>2</v>
      </c>
      <c r="U4" s="11" t="s">
        <v>14</v>
      </c>
      <c r="V4" s="11" t="str">
        <f>T4</f>
        <v>kWh</v>
      </c>
      <c r="W4" s="11" t="s">
        <v>14</v>
      </c>
      <c r="X4" s="11" t="str">
        <f>T4</f>
        <v>kWh</v>
      </c>
      <c r="Y4" s="11" t="s">
        <v>14</v>
      </c>
      <c r="Z4" s="12" t="s">
        <v>8</v>
      </c>
      <c r="AA4" s="12" t="s">
        <v>9</v>
      </c>
      <c r="AC4" s="13" t="s">
        <v>14</v>
      </c>
      <c r="AD4" s="14" t="s">
        <v>8</v>
      </c>
      <c r="AE4" s="14" t="s">
        <v>9</v>
      </c>
      <c r="AG4" s="15" t="s">
        <v>8</v>
      </c>
      <c r="AH4" s="15" t="s">
        <v>9</v>
      </c>
    </row>
    <row r="5" spans="2:34" x14ac:dyDescent="0.25">
      <c r="B5" s="30"/>
      <c r="C5" s="30"/>
      <c r="D5" s="30"/>
      <c r="E5" s="30" t="s">
        <v>18</v>
      </c>
      <c r="F5" s="30"/>
      <c r="G5" s="30"/>
      <c r="H5" s="30"/>
      <c r="I5" s="30"/>
      <c r="J5" s="30"/>
      <c r="K5" s="30"/>
      <c r="L5" s="29">
        <v>0.15</v>
      </c>
      <c r="M5" s="30"/>
      <c r="N5" s="30"/>
      <c r="O5" s="30"/>
      <c r="P5" s="30"/>
      <c r="Q5" s="30"/>
      <c r="R5" s="29">
        <v>0.21</v>
      </c>
      <c r="S5" s="30"/>
      <c r="T5" s="30"/>
      <c r="U5" s="30"/>
      <c r="V5" s="30"/>
      <c r="W5" s="30"/>
      <c r="X5" s="30"/>
      <c r="Y5" s="30"/>
      <c r="Z5" s="30"/>
      <c r="AA5" s="29">
        <v>0.21</v>
      </c>
      <c r="AB5" s="30"/>
      <c r="AC5" s="30"/>
      <c r="AD5" s="30"/>
      <c r="AE5" s="29">
        <v>0.15</v>
      </c>
      <c r="AF5" s="30"/>
      <c r="AG5" s="30"/>
      <c r="AH5" s="29">
        <v>0.21</v>
      </c>
    </row>
    <row r="6" spans="2:34" ht="6.75" hidden="1" customHeight="1" outlineLevel="1" x14ac:dyDescent="0.25">
      <c r="L6" s="17"/>
      <c r="R6" s="17"/>
      <c r="AA6" s="17"/>
      <c r="AE6" s="17"/>
      <c r="AH6" s="17"/>
    </row>
    <row r="7" spans="2:34" hidden="1" outlineLevel="2" x14ac:dyDescent="0.25">
      <c r="F7" s="3" t="s">
        <v>19</v>
      </c>
      <c r="G7" s="34"/>
      <c r="H7" s="20">
        <f>SUM(I7:J7)</f>
        <v>1530</v>
      </c>
      <c r="I7" s="20">
        <f>'01 ZŠ J. Vohradského'!H36</f>
        <v>1530</v>
      </c>
      <c r="J7" s="20"/>
      <c r="K7" s="20">
        <f>'01 ZŠ J. Vohradského'!I36</f>
        <v>707120.1</v>
      </c>
      <c r="L7" s="20">
        <f>K7*(1+L$5)</f>
        <v>813188.11499999987</v>
      </c>
      <c r="M7" s="20"/>
      <c r="N7" s="20">
        <f>SUM(O7:P7)</f>
        <v>13186.3</v>
      </c>
      <c r="O7" s="20"/>
      <c r="P7" s="31">
        <f>'01 ZŠ J. Vohradského'!N36</f>
        <v>13186.3</v>
      </c>
      <c r="Q7" s="31">
        <f>'01 ZŠ J. Vohradského'!P36</f>
        <v>38730.340000000011</v>
      </c>
      <c r="R7" s="20">
        <f>Q7*(1+R$5)</f>
        <v>46863.711400000015</v>
      </c>
      <c r="S7" s="20"/>
      <c r="T7" s="20">
        <f>SUM(V7,X7)</f>
        <v>0</v>
      </c>
      <c r="U7" s="20">
        <f>SUM(W7,Y7)</f>
        <v>0</v>
      </c>
      <c r="V7" s="31"/>
      <c r="W7" s="31"/>
      <c r="X7" s="20">
        <f>'01 ZŠ J. Vohradského'!V36</f>
        <v>0</v>
      </c>
      <c r="Y7" s="20">
        <f>'01 ZŠ J. Vohradského'!W36</f>
        <v>0</v>
      </c>
      <c r="Z7" s="20">
        <f>'01 ZŠ J. Vohradského'!X36</f>
        <v>0</v>
      </c>
      <c r="AA7" s="20">
        <f>Z7*(1+AA$5)</f>
        <v>0</v>
      </c>
      <c r="AB7" s="20"/>
      <c r="AC7" s="31">
        <f>'01 ZŠ J. Vohradského'!R36</f>
        <v>778</v>
      </c>
      <c r="AD7" s="31">
        <f>'01 ZŠ J. Vohradského'!T36</f>
        <v>65957.16</v>
      </c>
      <c r="AE7" s="20">
        <f>AD7*(1+AE$5)</f>
        <v>75850.733999999997</v>
      </c>
      <c r="AF7" s="20"/>
      <c r="AG7" s="20"/>
      <c r="AH7" s="20">
        <f>AG7*(1+AH$5)</f>
        <v>0</v>
      </c>
    </row>
    <row r="8" spans="2:34" hidden="1" outlineLevel="2" x14ac:dyDescent="0.25">
      <c r="F8" s="3" t="s">
        <v>20</v>
      </c>
      <c r="G8" s="34"/>
      <c r="H8" s="20">
        <f t="shared" ref="H8:H18" si="0">SUM(I8:J8)</f>
        <v>0</v>
      </c>
      <c r="I8" s="20">
        <f>'01 ZŠ J. Vohradského'!H37</f>
        <v>0</v>
      </c>
      <c r="J8" s="20"/>
      <c r="K8" s="20">
        <f>'01 ZŠ J. Vohradského'!I37</f>
        <v>0</v>
      </c>
      <c r="L8" s="20">
        <f t="shared" ref="L8:L18" si="1">K8*(1+L$5)</f>
        <v>0</v>
      </c>
      <c r="M8" s="20"/>
      <c r="N8" s="20">
        <f t="shared" ref="N8:N18" si="2">SUM(O8:P8)</f>
        <v>0</v>
      </c>
      <c r="O8" s="20"/>
      <c r="P8" s="31">
        <f>'01 ZŠ J. Vohradského'!N37</f>
        <v>0</v>
      </c>
      <c r="Q8" s="31">
        <f>'01 ZŠ J. Vohradského'!P37</f>
        <v>0</v>
      </c>
      <c r="R8" s="20">
        <f t="shared" ref="R8:R18" si="3">Q8*(1+R$5)</f>
        <v>0</v>
      </c>
      <c r="S8" s="20"/>
      <c r="T8" s="20">
        <f t="shared" ref="T8:T18" si="4">SUM(V8,X8)</f>
        <v>0</v>
      </c>
      <c r="U8" s="20">
        <f t="shared" ref="U8:U18" si="5">SUM(W8,Y8)</f>
        <v>0</v>
      </c>
      <c r="V8" s="31"/>
      <c r="W8" s="31"/>
      <c r="X8" s="20">
        <f>'01 ZŠ J. Vohradského'!V37</f>
        <v>0</v>
      </c>
      <c r="Y8" s="20">
        <f>'01 ZŠ J. Vohradského'!W37</f>
        <v>0</v>
      </c>
      <c r="Z8" s="31">
        <f>'01 ZŠ J. Vohradského'!X37</f>
        <v>0</v>
      </c>
      <c r="AA8" s="20">
        <f t="shared" ref="AA8:AA18" si="6">Z8*(1+AA$5)</f>
        <v>0</v>
      </c>
      <c r="AB8" s="20"/>
      <c r="AC8" s="31">
        <f>'01 ZŠ J. Vohradského'!R37</f>
        <v>0</v>
      </c>
      <c r="AD8" s="31">
        <f>'01 ZŠ J. Vohradského'!T37</f>
        <v>0</v>
      </c>
      <c r="AE8" s="20">
        <f t="shared" ref="AE8:AE18" si="7">AD8*(1+AE$5)</f>
        <v>0</v>
      </c>
      <c r="AF8" s="20"/>
      <c r="AG8" s="20"/>
      <c r="AH8" s="20">
        <f t="shared" ref="AH8:AH18" si="8">AG8*(1+AH$5)</f>
        <v>0</v>
      </c>
    </row>
    <row r="9" spans="2:34" hidden="1" outlineLevel="2" x14ac:dyDescent="0.25">
      <c r="F9" s="3" t="s">
        <v>21</v>
      </c>
      <c r="G9" s="34"/>
      <c r="H9" s="20">
        <f t="shared" si="0"/>
        <v>0</v>
      </c>
      <c r="I9" s="20">
        <f>'01 ZŠ J. Vohradského'!H38</f>
        <v>0</v>
      </c>
      <c r="J9" s="20"/>
      <c r="K9" s="20">
        <f>'01 ZŠ J. Vohradského'!I38</f>
        <v>0</v>
      </c>
      <c r="L9" s="20">
        <f t="shared" si="1"/>
        <v>0</v>
      </c>
      <c r="M9" s="20"/>
      <c r="N9" s="20">
        <f t="shared" si="2"/>
        <v>0</v>
      </c>
      <c r="O9" s="20"/>
      <c r="P9" s="31">
        <f>'01 ZŠ J. Vohradského'!N38</f>
        <v>0</v>
      </c>
      <c r="Q9" s="31">
        <f>'01 ZŠ J. Vohradského'!P38</f>
        <v>0</v>
      </c>
      <c r="R9" s="20">
        <f t="shared" si="3"/>
        <v>0</v>
      </c>
      <c r="S9" s="20"/>
      <c r="T9" s="20">
        <f t="shared" si="4"/>
        <v>0</v>
      </c>
      <c r="U9" s="20">
        <f t="shared" si="5"/>
        <v>0</v>
      </c>
      <c r="V9" s="31"/>
      <c r="W9" s="31"/>
      <c r="X9" s="20">
        <f>'01 ZŠ J. Vohradského'!V38</f>
        <v>0</v>
      </c>
      <c r="Y9" s="20">
        <f>'01 ZŠ J. Vohradského'!W38</f>
        <v>0</v>
      </c>
      <c r="Z9" s="31">
        <f>'01 ZŠ J. Vohradského'!X38</f>
        <v>0</v>
      </c>
      <c r="AA9" s="20">
        <f t="shared" si="6"/>
        <v>0</v>
      </c>
      <c r="AB9" s="20"/>
      <c r="AC9" s="31">
        <f>'01 ZŠ J. Vohradského'!R38</f>
        <v>0</v>
      </c>
      <c r="AD9" s="31">
        <f>'01 ZŠ J. Vohradského'!T38</f>
        <v>0</v>
      </c>
      <c r="AE9" s="20">
        <f t="shared" si="7"/>
        <v>0</v>
      </c>
      <c r="AF9" s="20"/>
      <c r="AG9" s="20"/>
      <c r="AH9" s="20">
        <f t="shared" si="8"/>
        <v>0</v>
      </c>
    </row>
    <row r="10" spans="2:34" hidden="1" outlineLevel="2" x14ac:dyDescent="0.25">
      <c r="F10" s="3" t="s">
        <v>22</v>
      </c>
      <c r="G10" s="34"/>
      <c r="H10" s="20">
        <f t="shared" si="0"/>
        <v>0</v>
      </c>
      <c r="I10" s="20">
        <f>'01 ZŠ J. Vohradského'!H39</f>
        <v>0</v>
      </c>
      <c r="J10" s="20"/>
      <c r="K10" s="20">
        <f>'01 ZŠ J. Vohradského'!I39</f>
        <v>0</v>
      </c>
      <c r="L10" s="20">
        <f t="shared" si="1"/>
        <v>0</v>
      </c>
      <c r="M10" s="20"/>
      <c r="N10" s="20">
        <f t="shared" si="2"/>
        <v>32328.400000000001</v>
      </c>
      <c r="O10" s="20"/>
      <c r="P10" s="31">
        <f>'01 ZŠ J. Vohradského'!N39</f>
        <v>32328.400000000001</v>
      </c>
      <c r="Q10" s="31">
        <f>'01 ZŠ J. Vohradského'!P39</f>
        <v>99383.7</v>
      </c>
      <c r="R10" s="20">
        <f t="shared" si="3"/>
        <v>120254.27699999999</v>
      </c>
      <c r="S10" s="20"/>
      <c r="T10" s="20">
        <f t="shared" si="4"/>
        <v>0</v>
      </c>
      <c r="U10" s="20">
        <f t="shared" si="5"/>
        <v>0</v>
      </c>
      <c r="V10" s="31"/>
      <c r="W10" s="31"/>
      <c r="X10" s="20">
        <f>'01 ZŠ J. Vohradského'!V39</f>
        <v>0</v>
      </c>
      <c r="Y10" s="20">
        <f>'01 ZŠ J. Vohradského'!W39</f>
        <v>0</v>
      </c>
      <c r="Z10" s="31">
        <f>'01 ZŠ J. Vohradského'!X39</f>
        <v>0</v>
      </c>
      <c r="AA10" s="20">
        <f t="shared" si="6"/>
        <v>0</v>
      </c>
      <c r="AB10" s="20"/>
      <c r="AC10" s="31">
        <f>'01 ZŠ J. Vohradského'!R39</f>
        <v>0</v>
      </c>
      <c r="AD10" s="31">
        <f>'01 ZŠ J. Vohradského'!T39</f>
        <v>0</v>
      </c>
      <c r="AE10" s="20">
        <f t="shared" si="7"/>
        <v>0</v>
      </c>
      <c r="AF10" s="20"/>
      <c r="AG10" s="20"/>
      <c r="AH10" s="20">
        <f t="shared" si="8"/>
        <v>0</v>
      </c>
    </row>
    <row r="11" spans="2:34" hidden="1" outlineLevel="2" x14ac:dyDescent="0.25">
      <c r="F11" s="3" t="s">
        <v>23</v>
      </c>
      <c r="G11" s="34"/>
      <c r="H11" s="20">
        <f t="shared" si="0"/>
        <v>0</v>
      </c>
      <c r="I11" s="20">
        <f>'01 ZŠ J. Vohradského'!H40</f>
        <v>0</v>
      </c>
      <c r="J11" s="20"/>
      <c r="K11" s="20">
        <f>'01 ZŠ J. Vohradského'!I40</f>
        <v>0</v>
      </c>
      <c r="L11" s="20">
        <f t="shared" si="1"/>
        <v>0</v>
      </c>
      <c r="M11" s="20"/>
      <c r="N11" s="20">
        <f t="shared" si="2"/>
        <v>0</v>
      </c>
      <c r="O11" s="20"/>
      <c r="P11" s="31">
        <f>'01 ZŠ J. Vohradského'!N40</f>
        <v>0</v>
      </c>
      <c r="Q11" s="31">
        <f>'01 ZŠ J. Vohradského'!P40</f>
        <v>0</v>
      </c>
      <c r="R11" s="20">
        <f t="shared" si="3"/>
        <v>0</v>
      </c>
      <c r="S11" s="20"/>
      <c r="T11" s="20">
        <f t="shared" si="4"/>
        <v>0</v>
      </c>
      <c r="U11" s="20">
        <f t="shared" si="5"/>
        <v>0</v>
      </c>
      <c r="V11" s="31"/>
      <c r="W11" s="31"/>
      <c r="X11" s="20">
        <f>'01 ZŠ J. Vohradského'!V40</f>
        <v>0</v>
      </c>
      <c r="Y11" s="20">
        <f>'01 ZŠ J. Vohradského'!W40</f>
        <v>0</v>
      </c>
      <c r="Z11" s="31">
        <f>'01 ZŠ J. Vohradského'!X40</f>
        <v>0</v>
      </c>
      <c r="AA11" s="20">
        <f t="shared" si="6"/>
        <v>0</v>
      </c>
      <c r="AB11" s="20"/>
      <c r="AC11" s="31">
        <f>'01 ZŠ J. Vohradského'!R40</f>
        <v>0</v>
      </c>
      <c r="AD11" s="31">
        <f>'01 ZŠ J. Vohradského'!T40</f>
        <v>0</v>
      </c>
      <c r="AE11" s="20">
        <f t="shared" si="7"/>
        <v>0</v>
      </c>
      <c r="AF11" s="20"/>
      <c r="AG11" s="20"/>
      <c r="AH11" s="20">
        <f t="shared" si="8"/>
        <v>0</v>
      </c>
    </row>
    <row r="12" spans="2:34" hidden="1" outlineLevel="2" x14ac:dyDescent="0.25">
      <c r="F12" s="3" t="s">
        <v>24</v>
      </c>
      <c r="G12" s="34"/>
      <c r="H12" s="20">
        <f t="shared" si="0"/>
        <v>0</v>
      </c>
      <c r="I12" s="20">
        <f>'01 ZŠ J. Vohradského'!H41</f>
        <v>0</v>
      </c>
      <c r="J12" s="20"/>
      <c r="K12" s="20">
        <f>'01 ZŠ J. Vohradského'!I41</f>
        <v>0</v>
      </c>
      <c r="L12" s="20">
        <f t="shared" si="1"/>
        <v>0</v>
      </c>
      <c r="M12" s="20"/>
      <c r="N12" s="20">
        <f t="shared" si="2"/>
        <v>0</v>
      </c>
      <c r="O12" s="20"/>
      <c r="P12" s="31">
        <f>'01 ZŠ J. Vohradského'!N41</f>
        <v>0</v>
      </c>
      <c r="Q12" s="31">
        <f>'01 ZŠ J. Vohradského'!P41</f>
        <v>0</v>
      </c>
      <c r="R12" s="20">
        <f t="shared" si="3"/>
        <v>0</v>
      </c>
      <c r="S12" s="20"/>
      <c r="T12" s="20">
        <f t="shared" si="4"/>
        <v>0</v>
      </c>
      <c r="U12" s="20">
        <f t="shared" si="5"/>
        <v>0</v>
      </c>
      <c r="V12" s="31"/>
      <c r="W12" s="31"/>
      <c r="X12" s="20">
        <f>'01 ZŠ J. Vohradského'!V41</f>
        <v>0</v>
      </c>
      <c r="Y12" s="20">
        <f>'01 ZŠ J. Vohradského'!W41</f>
        <v>0</v>
      </c>
      <c r="Z12" s="31">
        <f>'01 ZŠ J. Vohradského'!X41</f>
        <v>0</v>
      </c>
      <c r="AA12" s="20">
        <f t="shared" si="6"/>
        <v>0</v>
      </c>
      <c r="AB12" s="20"/>
      <c r="AC12" s="31">
        <f>'01 ZŠ J. Vohradského'!R41</f>
        <v>0</v>
      </c>
      <c r="AD12" s="31">
        <f>'01 ZŠ J. Vohradského'!T41</f>
        <v>0</v>
      </c>
      <c r="AE12" s="20">
        <f t="shared" si="7"/>
        <v>0</v>
      </c>
      <c r="AF12" s="20"/>
      <c r="AG12" s="20"/>
      <c r="AH12" s="20">
        <f t="shared" si="8"/>
        <v>0</v>
      </c>
    </row>
    <row r="13" spans="2:34" hidden="1" outlineLevel="2" x14ac:dyDescent="0.25">
      <c r="F13" s="3" t="s">
        <v>25</v>
      </c>
      <c r="G13" s="34"/>
      <c r="H13" s="20">
        <f t="shared" si="0"/>
        <v>0</v>
      </c>
      <c r="I13" s="20">
        <f>'01 ZŠ J. Vohradského'!H42</f>
        <v>0</v>
      </c>
      <c r="J13" s="20"/>
      <c r="K13" s="20">
        <f>'01 ZŠ J. Vohradského'!I42</f>
        <v>0</v>
      </c>
      <c r="L13" s="20">
        <f t="shared" si="1"/>
        <v>0</v>
      </c>
      <c r="M13" s="20"/>
      <c r="N13" s="20">
        <f t="shared" si="2"/>
        <v>0</v>
      </c>
      <c r="O13" s="20"/>
      <c r="P13" s="31">
        <f>'01 ZŠ J. Vohradského'!N42</f>
        <v>0</v>
      </c>
      <c r="Q13" s="31">
        <f>'01 ZŠ J. Vohradského'!P42</f>
        <v>0</v>
      </c>
      <c r="R13" s="20">
        <f t="shared" si="3"/>
        <v>0</v>
      </c>
      <c r="S13" s="20"/>
      <c r="T13" s="20">
        <f t="shared" si="4"/>
        <v>0</v>
      </c>
      <c r="U13" s="20">
        <f t="shared" si="5"/>
        <v>0</v>
      </c>
      <c r="V13" s="31"/>
      <c r="W13" s="31"/>
      <c r="X13" s="20">
        <f>'01 ZŠ J. Vohradského'!V42</f>
        <v>0</v>
      </c>
      <c r="Y13" s="20">
        <f>'01 ZŠ J. Vohradského'!W42</f>
        <v>0</v>
      </c>
      <c r="Z13" s="31">
        <f>'01 ZŠ J. Vohradského'!X42</f>
        <v>0</v>
      </c>
      <c r="AA13" s="20">
        <f t="shared" si="6"/>
        <v>0</v>
      </c>
      <c r="AB13" s="20"/>
      <c r="AC13" s="31">
        <f>'01 ZŠ J. Vohradského'!R42</f>
        <v>0</v>
      </c>
      <c r="AD13" s="31">
        <f>'01 ZŠ J. Vohradského'!T42</f>
        <v>0</v>
      </c>
      <c r="AE13" s="20">
        <f t="shared" si="7"/>
        <v>0</v>
      </c>
      <c r="AF13" s="20"/>
      <c r="AG13" s="20"/>
      <c r="AH13" s="20">
        <f t="shared" si="8"/>
        <v>0</v>
      </c>
    </row>
    <row r="14" spans="2:34" hidden="1" outlineLevel="2" x14ac:dyDescent="0.25">
      <c r="F14" s="3" t="s">
        <v>26</v>
      </c>
      <c r="G14" s="34"/>
      <c r="H14" s="20">
        <f t="shared" si="0"/>
        <v>0</v>
      </c>
      <c r="I14" s="20">
        <f>'01 ZŠ J. Vohradského'!H43</f>
        <v>0</v>
      </c>
      <c r="J14" s="20"/>
      <c r="K14" s="20">
        <f>'01 ZŠ J. Vohradského'!I43</f>
        <v>0</v>
      </c>
      <c r="L14" s="20">
        <f t="shared" si="1"/>
        <v>0</v>
      </c>
      <c r="M14" s="20"/>
      <c r="N14" s="20">
        <f t="shared" si="2"/>
        <v>0</v>
      </c>
      <c r="O14" s="20"/>
      <c r="P14" s="31">
        <f>'01 ZŠ J. Vohradského'!N43</f>
        <v>0</v>
      </c>
      <c r="Q14" s="31">
        <f>'01 ZŠ J. Vohradského'!P43</f>
        <v>0</v>
      </c>
      <c r="R14" s="20">
        <f t="shared" si="3"/>
        <v>0</v>
      </c>
      <c r="S14" s="20"/>
      <c r="T14" s="20">
        <f t="shared" si="4"/>
        <v>0</v>
      </c>
      <c r="U14" s="20">
        <f t="shared" si="5"/>
        <v>0</v>
      </c>
      <c r="V14" s="31"/>
      <c r="W14" s="31"/>
      <c r="X14" s="20">
        <f>'01 ZŠ J. Vohradského'!V43</f>
        <v>0</v>
      </c>
      <c r="Y14" s="20">
        <f>'01 ZŠ J. Vohradského'!W43</f>
        <v>0</v>
      </c>
      <c r="Z14" s="31">
        <f>'01 ZŠ J. Vohradského'!X43</f>
        <v>0</v>
      </c>
      <c r="AA14" s="20">
        <f t="shared" si="6"/>
        <v>0</v>
      </c>
      <c r="AB14" s="20"/>
      <c r="AC14" s="31">
        <f>'01 ZŠ J. Vohradského'!R43</f>
        <v>0</v>
      </c>
      <c r="AD14" s="31">
        <f>'01 ZŠ J. Vohradského'!T43</f>
        <v>0</v>
      </c>
      <c r="AE14" s="20">
        <f t="shared" si="7"/>
        <v>0</v>
      </c>
      <c r="AF14" s="20"/>
      <c r="AG14" s="20"/>
      <c r="AH14" s="20">
        <f t="shared" si="8"/>
        <v>0</v>
      </c>
    </row>
    <row r="15" spans="2:34" hidden="1" outlineLevel="2" x14ac:dyDescent="0.25">
      <c r="F15" s="3" t="s">
        <v>27</v>
      </c>
      <c r="G15" s="34"/>
      <c r="H15" s="20">
        <f t="shared" si="0"/>
        <v>0</v>
      </c>
      <c r="I15" s="20">
        <f>'01 ZŠ J. Vohradského'!H44</f>
        <v>0</v>
      </c>
      <c r="J15" s="20"/>
      <c r="K15" s="20">
        <f>'01 ZŠ J. Vohradského'!I44</f>
        <v>0</v>
      </c>
      <c r="L15" s="20">
        <f t="shared" si="1"/>
        <v>0</v>
      </c>
      <c r="M15" s="20"/>
      <c r="N15" s="20">
        <f t="shared" si="2"/>
        <v>0</v>
      </c>
      <c r="O15" s="20"/>
      <c r="P15" s="31">
        <f>'01 ZŠ J. Vohradského'!N44</f>
        <v>0</v>
      </c>
      <c r="Q15" s="31">
        <f>'01 ZŠ J. Vohradského'!P44</f>
        <v>0</v>
      </c>
      <c r="R15" s="20">
        <f t="shared" si="3"/>
        <v>0</v>
      </c>
      <c r="S15" s="20"/>
      <c r="T15" s="20">
        <f t="shared" si="4"/>
        <v>0</v>
      </c>
      <c r="U15" s="20">
        <f t="shared" si="5"/>
        <v>0</v>
      </c>
      <c r="V15" s="31"/>
      <c r="W15" s="31"/>
      <c r="X15" s="20">
        <f>'01 ZŠ J. Vohradského'!V44</f>
        <v>0</v>
      </c>
      <c r="Y15" s="20">
        <f>'01 ZŠ J. Vohradského'!W44</f>
        <v>0</v>
      </c>
      <c r="Z15" s="31">
        <f>'01 ZŠ J. Vohradského'!X44</f>
        <v>0</v>
      </c>
      <c r="AA15" s="20">
        <f t="shared" si="6"/>
        <v>0</v>
      </c>
      <c r="AB15" s="20"/>
      <c r="AC15" s="31">
        <f>'01 ZŠ J. Vohradského'!R44</f>
        <v>0</v>
      </c>
      <c r="AD15" s="31">
        <f>'01 ZŠ J. Vohradského'!T44</f>
        <v>0</v>
      </c>
      <c r="AE15" s="20">
        <f t="shared" si="7"/>
        <v>0</v>
      </c>
      <c r="AF15" s="20"/>
      <c r="AG15" s="20"/>
      <c r="AH15" s="20">
        <f t="shared" si="8"/>
        <v>0</v>
      </c>
    </row>
    <row r="16" spans="2:34" hidden="1" outlineLevel="2" x14ac:dyDescent="0.25">
      <c r="F16" s="3" t="s">
        <v>28</v>
      </c>
      <c r="G16" s="34"/>
      <c r="H16" s="20">
        <f t="shared" si="0"/>
        <v>0</v>
      </c>
      <c r="I16" s="20">
        <f>'01 ZŠ J. Vohradského'!H45</f>
        <v>0</v>
      </c>
      <c r="J16" s="20"/>
      <c r="K16" s="20">
        <f>'01 ZŠ J. Vohradského'!I45</f>
        <v>0</v>
      </c>
      <c r="L16" s="20">
        <f t="shared" si="1"/>
        <v>0</v>
      </c>
      <c r="M16" s="20"/>
      <c r="N16" s="20">
        <f t="shared" si="2"/>
        <v>0</v>
      </c>
      <c r="O16" s="20"/>
      <c r="P16" s="31">
        <f>'01 ZŠ J. Vohradského'!N45</f>
        <v>0</v>
      </c>
      <c r="Q16" s="31">
        <f>'01 ZŠ J. Vohradského'!P45</f>
        <v>0</v>
      </c>
      <c r="R16" s="20">
        <f t="shared" si="3"/>
        <v>0</v>
      </c>
      <c r="S16" s="20"/>
      <c r="T16" s="20">
        <f t="shared" si="4"/>
        <v>0</v>
      </c>
      <c r="U16" s="20">
        <f t="shared" si="5"/>
        <v>0</v>
      </c>
      <c r="V16" s="31"/>
      <c r="W16" s="31"/>
      <c r="X16" s="20">
        <f>'01 ZŠ J. Vohradského'!V45</f>
        <v>0</v>
      </c>
      <c r="Y16" s="20">
        <f>'01 ZŠ J. Vohradského'!W45</f>
        <v>0</v>
      </c>
      <c r="Z16" s="31">
        <f>'01 ZŠ J. Vohradského'!X45</f>
        <v>0</v>
      </c>
      <c r="AA16" s="20">
        <f t="shared" si="6"/>
        <v>0</v>
      </c>
      <c r="AB16" s="20"/>
      <c r="AC16" s="31">
        <f>'01 ZŠ J. Vohradského'!R45</f>
        <v>0</v>
      </c>
      <c r="AD16" s="31">
        <f>'01 ZŠ J. Vohradského'!T45</f>
        <v>0</v>
      </c>
      <c r="AE16" s="20">
        <f t="shared" si="7"/>
        <v>0</v>
      </c>
      <c r="AF16" s="20"/>
      <c r="AG16" s="20"/>
      <c r="AH16" s="20">
        <f t="shared" si="8"/>
        <v>0</v>
      </c>
    </row>
    <row r="17" spans="2:34" hidden="1" outlineLevel="2" x14ac:dyDescent="0.25">
      <c r="F17" s="3" t="s">
        <v>29</v>
      </c>
      <c r="G17" s="34"/>
      <c r="H17" s="20">
        <f t="shared" si="0"/>
        <v>0</v>
      </c>
      <c r="I17" s="20">
        <f>'01 ZŠ J. Vohradského'!H46</f>
        <v>0</v>
      </c>
      <c r="J17" s="20"/>
      <c r="K17" s="20">
        <f>'01 ZŠ J. Vohradského'!I46</f>
        <v>0</v>
      </c>
      <c r="L17" s="20">
        <f t="shared" si="1"/>
        <v>0</v>
      </c>
      <c r="M17" s="20"/>
      <c r="N17" s="20">
        <f t="shared" si="2"/>
        <v>0</v>
      </c>
      <c r="O17" s="20"/>
      <c r="P17" s="31">
        <f>'01 ZŠ J. Vohradského'!N46</f>
        <v>0</v>
      </c>
      <c r="Q17" s="31">
        <f>'01 ZŠ J. Vohradského'!P46</f>
        <v>0</v>
      </c>
      <c r="R17" s="20">
        <f t="shared" si="3"/>
        <v>0</v>
      </c>
      <c r="S17" s="20"/>
      <c r="T17" s="20">
        <f t="shared" si="4"/>
        <v>0</v>
      </c>
      <c r="U17" s="20">
        <f t="shared" si="5"/>
        <v>0</v>
      </c>
      <c r="V17" s="31"/>
      <c r="W17" s="31"/>
      <c r="X17" s="20">
        <f>'01 ZŠ J. Vohradského'!V46</f>
        <v>0</v>
      </c>
      <c r="Y17" s="20">
        <f>'01 ZŠ J. Vohradského'!W46</f>
        <v>0</v>
      </c>
      <c r="Z17" s="31">
        <f>'01 ZŠ J. Vohradského'!X46</f>
        <v>0</v>
      </c>
      <c r="AA17" s="20">
        <f t="shared" si="6"/>
        <v>0</v>
      </c>
      <c r="AB17" s="20"/>
      <c r="AC17" s="31">
        <f>'01 ZŠ J. Vohradského'!R46</f>
        <v>0</v>
      </c>
      <c r="AD17" s="31">
        <f>'01 ZŠ J. Vohradského'!T46</f>
        <v>0</v>
      </c>
      <c r="AE17" s="20">
        <f t="shared" si="7"/>
        <v>0</v>
      </c>
      <c r="AF17" s="20"/>
      <c r="AG17" s="20"/>
      <c r="AH17" s="20">
        <f t="shared" si="8"/>
        <v>0</v>
      </c>
    </row>
    <row r="18" spans="2:34" hidden="1" outlineLevel="2" x14ac:dyDescent="0.25">
      <c r="F18" s="18" t="s">
        <v>30</v>
      </c>
      <c r="G18" s="34"/>
      <c r="H18" s="21">
        <f t="shared" si="0"/>
        <v>0</v>
      </c>
      <c r="I18" s="21">
        <f>'01 ZŠ J. Vohradského'!H47</f>
        <v>0</v>
      </c>
      <c r="J18" s="21"/>
      <c r="K18" s="21">
        <f>'01 ZŠ J. Vohradského'!I47</f>
        <v>0</v>
      </c>
      <c r="L18" s="21">
        <f t="shared" si="1"/>
        <v>0</v>
      </c>
      <c r="M18" s="20"/>
      <c r="N18" s="21">
        <f t="shared" si="2"/>
        <v>0</v>
      </c>
      <c r="O18" s="21"/>
      <c r="P18" s="21">
        <f>'01 ZŠ J. Vohradského'!N47</f>
        <v>0</v>
      </c>
      <c r="Q18" s="21">
        <f>'01 ZŠ J. Vohradského'!P47</f>
        <v>0</v>
      </c>
      <c r="R18" s="21">
        <f t="shared" si="3"/>
        <v>0</v>
      </c>
      <c r="S18" s="20"/>
      <c r="T18" s="21">
        <f t="shared" si="4"/>
        <v>0</v>
      </c>
      <c r="U18" s="21">
        <f t="shared" si="5"/>
        <v>0</v>
      </c>
      <c r="V18" s="21"/>
      <c r="W18" s="21"/>
      <c r="X18" s="21">
        <f>'01 ZŠ J. Vohradského'!V47</f>
        <v>0</v>
      </c>
      <c r="Y18" s="21">
        <f>'01 ZŠ J. Vohradského'!W47</f>
        <v>0</v>
      </c>
      <c r="Z18" s="21">
        <f>'01 ZŠ J. Vohradského'!X47</f>
        <v>0</v>
      </c>
      <c r="AA18" s="21">
        <f t="shared" si="6"/>
        <v>0</v>
      </c>
      <c r="AB18" s="20"/>
      <c r="AC18" s="21">
        <f>'01 ZŠ J. Vohradského'!R47</f>
        <v>0</v>
      </c>
      <c r="AD18" s="21">
        <f>'01 ZŠ J. Vohradského'!T47</f>
        <v>0</v>
      </c>
      <c r="AE18" s="21">
        <f t="shared" si="7"/>
        <v>0</v>
      </c>
      <c r="AF18" s="20"/>
      <c r="AG18" s="21"/>
      <c r="AH18" s="21">
        <f t="shared" si="8"/>
        <v>0</v>
      </c>
    </row>
    <row r="19" spans="2:34" s="19" customFormat="1" ht="15" collapsed="1" x14ac:dyDescent="0.25">
      <c r="B19" s="26">
        <v>1</v>
      </c>
      <c r="C19" s="22" t="s">
        <v>192</v>
      </c>
      <c r="D19" s="22"/>
      <c r="E19" s="22"/>
      <c r="F19" s="22" t="s">
        <v>31</v>
      </c>
      <c r="G19" s="22"/>
      <c r="H19" s="23">
        <f>SUM(H7:H18)</f>
        <v>1530</v>
      </c>
      <c r="I19" s="23"/>
      <c r="J19" s="23"/>
      <c r="K19" s="23">
        <f>SUM(K7:K18)</f>
        <v>707120.1</v>
      </c>
      <c r="L19" s="23">
        <f>SUM(L7:L18)</f>
        <v>813188.11499999987</v>
      </c>
      <c r="M19" s="23"/>
      <c r="N19" s="23">
        <f>SUM(N7:N18)</f>
        <v>45514.7</v>
      </c>
      <c r="O19" s="23"/>
      <c r="P19" s="23"/>
      <c r="Q19" s="23">
        <f>SUM(Q7:Q18)</f>
        <v>138114.04</v>
      </c>
      <c r="R19" s="23">
        <f>SUM(R7:R18)</f>
        <v>167117.9884</v>
      </c>
      <c r="S19" s="23"/>
      <c r="T19" s="23">
        <f>SUM(T7:T18)</f>
        <v>0</v>
      </c>
      <c r="U19" s="23">
        <f>SUM(U7:U18)</f>
        <v>0</v>
      </c>
      <c r="V19" s="23"/>
      <c r="W19" s="23"/>
      <c r="X19" s="23"/>
      <c r="Y19" s="23"/>
      <c r="Z19" s="23">
        <f>SUM(Z7:Z18)</f>
        <v>0</v>
      </c>
      <c r="AA19" s="23">
        <f>SUM(AA7:AA18)</f>
        <v>0</v>
      </c>
      <c r="AB19" s="23"/>
      <c r="AC19" s="23">
        <f>SUM(AC7:AC18)</f>
        <v>778</v>
      </c>
      <c r="AD19" s="23">
        <f t="shared" ref="AD19:AE19" si="9">SUM(AD7:AD18)</f>
        <v>65957.16</v>
      </c>
      <c r="AE19" s="23">
        <f t="shared" si="9"/>
        <v>75850.733999999997</v>
      </c>
      <c r="AF19" s="23"/>
      <c r="AG19" s="23">
        <f t="shared" ref="AG19:AH19" si="10">SUM(AG7:AG18)</f>
        <v>0</v>
      </c>
      <c r="AH19" s="23">
        <f t="shared" si="10"/>
        <v>0</v>
      </c>
    </row>
    <row r="20" spans="2:34" s="19" customFormat="1" ht="5.25" hidden="1" customHeight="1" outlineLevel="1" x14ac:dyDescent="0.25">
      <c r="B20" s="27"/>
      <c r="C20" s="24"/>
      <c r="D20" s="24"/>
      <c r="E20" s="24"/>
      <c r="F20" s="24"/>
      <c r="G20" s="24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2:34" hidden="1" outlineLevel="2" x14ac:dyDescent="0.25">
      <c r="B21" s="28"/>
      <c r="F21" s="3" t="s">
        <v>19</v>
      </c>
      <c r="H21" s="20">
        <f>SUM(I21:J21)</f>
        <v>223.2</v>
      </c>
      <c r="I21" s="31">
        <f>'02 Tělocvična ZŠ'!H36</f>
        <v>223.2</v>
      </c>
      <c r="J21" s="31"/>
      <c r="K21" s="31">
        <f>'02 Tělocvična ZŠ'!I36</f>
        <v>103156.34</v>
      </c>
      <c r="L21" s="20">
        <f>K21*(1+L$5)</f>
        <v>118629.79099999998</v>
      </c>
      <c r="M21" s="20"/>
      <c r="N21" s="20">
        <f>SUM(O21:P21)</f>
        <v>4014.2999999999997</v>
      </c>
      <c r="O21" s="20"/>
      <c r="P21" s="31">
        <f>'02 Tělocvična ZŠ'!N36</f>
        <v>4014.2999999999997</v>
      </c>
      <c r="Q21" s="31">
        <f>'02 Tělocvična ZŠ'!P36</f>
        <v>12495.42</v>
      </c>
      <c r="R21" s="20">
        <f>Q21*(1+R$5)</f>
        <v>15119.458199999999</v>
      </c>
      <c r="S21" s="20"/>
      <c r="T21" s="20">
        <f>SUM(V21,X21)</f>
        <v>0</v>
      </c>
      <c r="U21" s="20">
        <f>SUM(W21,Y21)</f>
        <v>0</v>
      </c>
      <c r="V21" s="20"/>
      <c r="W21" s="20"/>
      <c r="X21" s="20">
        <f>'02 Tělocvična ZŠ'!U36</f>
        <v>0</v>
      </c>
      <c r="Y21" s="20">
        <f>'02 Tělocvična ZŠ'!V36</f>
        <v>0</v>
      </c>
      <c r="Z21" s="20">
        <f>'02 Tělocvična ZŠ'!W36</f>
        <v>0</v>
      </c>
      <c r="AA21" s="20">
        <f>Z21*(1+AA$5)</f>
        <v>0</v>
      </c>
      <c r="AB21" s="20"/>
      <c r="AC21" s="31">
        <f>'02 Tělocvična ZŠ'!R36</f>
        <v>0</v>
      </c>
      <c r="AD21" s="31">
        <f>'02 Tělocvična ZŠ'!S36</f>
        <v>0</v>
      </c>
      <c r="AE21" s="20">
        <f>AD21*(1+AE$5)</f>
        <v>0</v>
      </c>
      <c r="AF21" s="20"/>
      <c r="AG21" s="20"/>
      <c r="AH21" s="20">
        <f>AG21*(1+AH$5)</f>
        <v>0</v>
      </c>
    </row>
    <row r="22" spans="2:34" hidden="1" outlineLevel="2" x14ac:dyDescent="0.25">
      <c r="B22" s="28"/>
      <c r="F22" s="3" t="s">
        <v>20</v>
      </c>
      <c r="H22" s="20">
        <f t="shared" ref="H22:H32" si="11">SUM(I22:J22)</f>
        <v>0</v>
      </c>
      <c r="I22" s="31">
        <f>'02 Tělocvična ZŠ'!H37</f>
        <v>0</v>
      </c>
      <c r="J22" s="31"/>
      <c r="K22" s="31">
        <f>'02 Tělocvična ZŠ'!I37</f>
        <v>0</v>
      </c>
      <c r="L22" s="20">
        <f t="shared" ref="L22:L32" si="12">K22*(1+L$5)</f>
        <v>0</v>
      </c>
      <c r="M22" s="20"/>
      <c r="N22" s="20">
        <f t="shared" ref="N22:N32" si="13">SUM(O22:P22)</f>
        <v>0</v>
      </c>
      <c r="O22" s="20"/>
      <c r="P22" s="31">
        <f>'02 Tělocvična ZŠ'!N37</f>
        <v>0</v>
      </c>
      <c r="Q22" s="31">
        <f>'02 Tělocvična ZŠ'!P37</f>
        <v>0</v>
      </c>
      <c r="R22" s="20">
        <f t="shared" ref="R22:R32" si="14">Q22*(1+R$5)</f>
        <v>0</v>
      </c>
      <c r="S22" s="20"/>
      <c r="T22" s="20">
        <f t="shared" ref="T22:T32" si="15">SUM(V22,X22)</f>
        <v>0</v>
      </c>
      <c r="U22" s="20">
        <f t="shared" ref="U22:U32" si="16">SUM(W22,Y22)</f>
        <v>0</v>
      </c>
      <c r="V22" s="20"/>
      <c r="W22" s="20"/>
      <c r="X22" s="20">
        <f>'02 Tělocvična ZŠ'!U37</f>
        <v>0</v>
      </c>
      <c r="Y22" s="20">
        <f>'02 Tělocvična ZŠ'!V37</f>
        <v>0</v>
      </c>
      <c r="Z22" s="31">
        <f>'02 Tělocvična ZŠ'!W37</f>
        <v>0</v>
      </c>
      <c r="AA22" s="20">
        <f t="shared" ref="AA22:AA32" si="17">Z22*(1+AA$5)</f>
        <v>0</v>
      </c>
      <c r="AB22" s="20"/>
      <c r="AC22" s="31">
        <f>'02 Tělocvična ZŠ'!R37</f>
        <v>0</v>
      </c>
      <c r="AD22" s="31">
        <f>'02 Tělocvična ZŠ'!S37</f>
        <v>0</v>
      </c>
      <c r="AE22" s="20">
        <f t="shared" ref="AE22:AE32" si="18">AD22*(1+AE$5)</f>
        <v>0</v>
      </c>
      <c r="AF22" s="20"/>
      <c r="AG22" s="20"/>
      <c r="AH22" s="20">
        <f t="shared" ref="AH22:AH32" si="19">AG22*(1+AH$5)</f>
        <v>0</v>
      </c>
    </row>
    <row r="23" spans="2:34" hidden="1" outlineLevel="2" x14ac:dyDescent="0.25">
      <c r="B23" s="28"/>
      <c r="F23" s="3" t="s">
        <v>21</v>
      </c>
      <c r="H23" s="20">
        <f t="shared" si="11"/>
        <v>0</v>
      </c>
      <c r="I23" s="31">
        <f>'02 Tělocvična ZŠ'!H38</f>
        <v>0</v>
      </c>
      <c r="J23" s="31"/>
      <c r="K23" s="31">
        <f>'02 Tělocvična ZŠ'!I38</f>
        <v>0</v>
      </c>
      <c r="L23" s="20">
        <f t="shared" si="12"/>
        <v>0</v>
      </c>
      <c r="M23" s="20"/>
      <c r="N23" s="20">
        <f t="shared" si="13"/>
        <v>0</v>
      </c>
      <c r="O23" s="20"/>
      <c r="P23" s="31">
        <f>'02 Tělocvična ZŠ'!N38</f>
        <v>0</v>
      </c>
      <c r="Q23" s="31">
        <f>'02 Tělocvična ZŠ'!P38</f>
        <v>0</v>
      </c>
      <c r="R23" s="20">
        <f t="shared" si="14"/>
        <v>0</v>
      </c>
      <c r="S23" s="20"/>
      <c r="T23" s="20">
        <f t="shared" si="15"/>
        <v>0</v>
      </c>
      <c r="U23" s="20">
        <f t="shared" si="16"/>
        <v>0</v>
      </c>
      <c r="V23" s="20"/>
      <c r="W23" s="20"/>
      <c r="X23" s="20">
        <f>'02 Tělocvična ZŠ'!U38</f>
        <v>0</v>
      </c>
      <c r="Y23" s="20">
        <f>'02 Tělocvična ZŠ'!V38</f>
        <v>0</v>
      </c>
      <c r="Z23" s="31">
        <f>'02 Tělocvična ZŠ'!W38</f>
        <v>0</v>
      </c>
      <c r="AA23" s="20">
        <f t="shared" si="17"/>
        <v>0</v>
      </c>
      <c r="AB23" s="20"/>
      <c r="AC23" s="31">
        <f>'02 Tělocvična ZŠ'!R38</f>
        <v>0</v>
      </c>
      <c r="AD23" s="31">
        <f>'02 Tělocvična ZŠ'!S38</f>
        <v>0</v>
      </c>
      <c r="AE23" s="20">
        <f t="shared" si="18"/>
        <v>0</v>
      </c>
      <c r="AF23" s="20"/>
      <c r="AG23" s="20"/>
      <c r="AH23" s="20">
        <f t="shared" si="19"/>
        <v>0</v>
      </c>
    </row>
    <row r="24" spans="2:34" hidden="1" outlineLevel="2" x14ac:dyDescent="0.25">
      <c r="B24" s="28"/>
      <c r="F24" s="3" t="s">
        <v>22</v>
      </c>
      <c r="H24" s="20">
        <f t="shared" si="11"/>
        <v>0</v>
      </c>
      <c r="I24" s="31">
        <f>'02 Tělocvična ZŠ'!H39</f>
        <v>0</v>
      </c>
      <c r="J24" s="31"/>
      <c r="K24" s="31">
        <f>'02 Tělocvična ZŠ'!I39</f>
        <v>0</v>
      </c>
      <c r="L24" s="20">
        <f t="shared" si="12"/>
        <v>0</v>
      </c>
      <c r="M24" s="20"/>
      <c r="N24" s="20">
        <f t="shared" si="13"/>
        <v>9819.5</v>
      </c>
      <c r="O24" s="20"/>
      <c r="P24" s="31">
        <f>'02 Tělocvična ZŠ'!N39</f>
        <v>9819.5</v>
      </c>
      <c r="Q24" s="31">
        <f>'02 Tělocvična ZŠ'!P39</f>
        <v>32372.9</v>
      </c>
      <c r="R24" s="20">
        <f t="shared" si="14"/>
        <v>39171.209000000003</v>
      </c>
      <c r="S24" s="20"/>
      <c r="T24" s="20">
        <f t="shared" si="15"/>
        <v>0</v>
      </c>
      <c r="U24" s="20">
        <f t="shared" si="16"/>
        <v>0</v>
      </c>
      <c r="V24" s="20"/>
      <c r="W24" s="20"/>
      <c r="X24" s="20">
        <f>'02 Tělocvična ZŠ'!U39</f>
        <v>0</v>
      </c>
      <c r="Y24" s="20">
        <f>'02 Tělocvična ZŠ'!V39</f>
        <v>0</v>
      </c>
      <c r="Z24" s="31">
        <f>'02 Tělocvična ZŠ'!W39</f>
        <v>0</v>
      </c>
      <c r="AA24" s="20">
        <f t="shared" si="17"/>
        <v>0</v>
      </c>
      <c r="AB24" s="20"/>
      <c r="AC24" s="31">
        <f>'02 Tělocvična ZŠ'!R39</f>
        <v>0</v>
      </c>
      <c r="AD24" s="31">
        <f>'02 Tělocvična ZŠ'!S39</f>
        <v>0</v>
      </c>
      <c r="AE24" s="20">
        <f t="shared" si="18"/>
        <v>0</v>
      </c>
      <c r="AF24" s="20"/>
      <c r="AG24" s="20"/>
      <c r="AH24" s="20">
        <f t="shared" si="19"/>
        <v>0</v>
      </c>
    </row>
    <row r="25" spans="2:34" hidden="1" outlineLevel="2" x14ac:dyDescent="0.25">
      <c r="B25" s="28"/>
      <c r="F25" s="3" t="s">
        <v>23</v>
      </c>
      <c r="H25" s="20">
        <f t="shared" si="11"/>
        <v>0</v>
      </c>
      <c r="I25" s="31">
        <f>'02 Tělocvična ZŠ'!H40</f>
        <v>0</v>
      </c>
      <c r="J25" s="31"/>
      <c r="K25" s="31">
        <f>'02 Tělocvična ZŠ'!I40</f>
        <v>0</v>
      </c>
      <c r="L25" s="20">
        <f t="shared" si="12"/>
        <v>0</v>
      </c>
      <c r="M25" s="20"/>
      <c r="N25" s="20">
        <f t="shared" si="13"/>
        <v>0</v>
      </c>
      <c r="O25" s="20"/>
      <c r="P25" s="31">
        <f>'02 Tělocvična ZŠ'!N40</f>
        <v>0</v>
      </c>
      <c r="Q25" s="31">
        <f>'02 Tělocvična ZŠ'!P40</f>
        <v>0</v>
      </c>
      <c r="R25" s="20">
        <f t="shared" si="14"/>
        <v>0</v>
      </c>
      <c r="S25" s="20"/>
      <c r="T25" s="20">
        <f t="shared" si="15"/>
        <v>0</v>
      </c>
      <c r="U25" s="20">
        <f t="shared" si="16"/>
        <v>0</v>
      </c>
      <c r="V25" s="20"/>
      <c r="W25" s="20"/>
      <c r="X25" s="20">
        <f>'02 Tělocvična ZŠ'!U40</f>
        <v>0</v>
      </c>
      <c r="Y25" s="20">
        <f>'02 Tělocvična ZŠ'!V40</f>
        <v>0</v>
      </c>
      <c r="Z25" s="31">
        <f>'02 Tělocvična ZŠ'!W40</f>
        <v>0</v>
      </c>
      <c r="AA25" s="20">
        <f t="shared" si="17"/>
        <v>0</v>
      </c>
      <c r="AB25" s="20"/>
      <c r="AC25" s="31">
        <f>'02 Tělocvična ZŠ'!R40</f>
        <v>0</v>
      </c>
      <c r="AD25" s="31">
        <f>'02 Tělocvična ZŠ'!S40</f>
        <v>0</v>
      </c>
      <c r="AE25" s="20">
        <f t="shared" si="18"/>
        <v>0</v>
      </c>
      <c r="AF25" s="20"/>
      <c r="AG25" s="20"/>
      <c r="AH25" s="20">
        <f t="shared" si="19"/>
        <v>0</v>
      </c>
    </row>
    <row r="26" spans="2:34" hidden="1" outlineLevel="2" x14ac:dyDescent="0.25">
      <c r="B26" s="28"/>
      <c r="F26" s="3" t="s">
        <v>24</v>
      </c>
      <c r="H26" s="20">
        <f t="shared" si="11"/>
        <v>0</v>
      </c>
      <c r="I26" s="31">
        <f>'02 Tělocvična ZŠ'!H41</f>
        <v>0</v>
      </c>
      <c r="J26" s="31"/>
      <c r="K26" s="31">
        <f>'02 Tělocvična ZŠ'!I41</f>
        <v>0</v>
      </c>
      <c r="L26" s="20">
        <f t="shared" si="12"/>
        <v>0</v>
      </c>
      <c r="M26" s="20"/>
      <c r="N26" s="20">
        <f t="shared" si="13"/>
        <v>0</v>
      </c>
      <c r="O26" s="20"/>
      <c r="P26" s="31">
        <f>'02 Tělocvična ZŠ'!N41</f>
        <v>0</v>
      </c>
      <c r="Q26" s="31">
        <f>'02 Tělocvična ZŠ'!P41</f>
        <v>0</v>
      </c>
      <c r="R26" s="20">
        <f t="shared" si="14"/>
        <v>0</v>
      </c>
      <c r="S26" s="20"/>
      <c r="T26" s="20">
        <f t="shared" si="15"/>
        <v>0</v>
      </c>
      <c r="U26" s="20">
        <f t="shared" si="16"/>
        <v>0</v>
      </c>
      <c r="V26" s="20"/>
      <c r="W26" s="20"/>
      <c r="X26" s="20">
        <f>'02 Tělocvična ZŠ'!U41</f>
        <v>0</v>
      </c>
      <c r="Y26" s="20">
        <f>'02 Tělocvična ZŠ'!V41</f>
        <v>0</v>
      </c>
      <c r="Z26" s="31">
        <f>'02 Tělocvična ZŠ'!W41</f>
        <v>0</v>
      </c>
      <c r="AA26" s="20">
        <f t="shared" si="17"/>
        <v>0</v>
      </c>
      <c r="AB26" s="20"/>
      <c r="AC26" s="31">
        <f>'02 Tělocvična ZŠ'!R41</f>
        <v>0</v>
      </c>
      <c r="AD26" s="31">
        <f>'02 Tělocvična ZŠ'!S41</f>
        <v>0</v>
      </c>
      <c r="AE26" s="20">
        <f t="shared" si="18"/>
        <v>0</v>
      </c>
      <c r="AF26" s="20"/>
      <c r="AG26" s="20"/>
      <c r="AH26" s="20">
        <f t="shared" si="19"/>
        <v>0</v>
      </c>
    </row>
    <row r="27" spans="2:34" hidden="1" outlineLevel="2" x14ac:dyDescent="0.25">
      <c r="B27" s="28"/>
      <c r="F27" s="3" t="s">
        <v>25</v>
      </c>
      <c r="H27" s="20">
        <f t="shared" si="11"/>
        <v>0</v>
      </c>
      <c r="I27" s="31">
        <f>'02 Tělocvična ZŠ'!H42</f>
        <v>0</v>
      </c>
      <c r="J27" s="31"/>
      <c r="K27" s="31">
        <f>'02 Tělocvična ZŠ'!I42</f>
        <v>0</v>
      </c>
      <c r="L27" s="20">
        <f t="shared" si="12"/>
        <v>0</v>
      </c>
      <c r="M27" s="20"/>
      <c r="N27" s="20">
        <f t="shared" si="13"/>
        <v>0</v>
      </c>
      <c r="O27" s="20"/>
      <c r="P27" s="31">
        <f>'02 Tělocvična ZŠ'!N42</f>
        <v>0</v>
      </c>
      <c r="Q27" s="31">
        <f>'02 Tělocvična ZŠ'!P42</f>
        <v>0</v>
      </c>
      <c r="R27" s="20">
        <f t="shared" si="14"/>
        <v>0</v>
      </c>
      <c r="S27" s="20"/>
      <c r="T27" s="20">
        <f t="shared" si="15"/>
        <v>0</v>
      </c>
      <c r="U27" s="20">
        <f t="shared" si="16"/>
        <v>0</v>
      </c>
      <c r="V27" s="20"/>
      <c r="W27" s="20"/>
      <c r="X27" s="20">
        <f>'02 Tělocvična ZŠ'!U42</f>
        <v>0</v>
      </c>
      <c r="Y27" s="20">
        <f>'02 Tělocvična ZŠ'!V42</f>
        <v>0</v>
      </c>
      <c r="Z27" s="31">
        <f>'02 Tělocvična ZŠ'!W42</f>
        <v>0</v>
      </c>
      <c r="AA27" s="20">
        <f t="shared" si="17"/>
        <v>0</v>
      </c>
      <c r="AB27" s="20"/>
      <c r="AC27" s="31">
        <f>'02 Tělocvična ZŠ'!R42</f>
        <v>0</v>
      </c>
      <c r="AD27" s="31">
        <f>'02 Tělocvična ZŠ'!S42</f>
        <v>0</v>
      </c>
      <c r="AE27" s="20">
        <f t="shared" si="18"/>
        <v>0</v>
      </c>
      <c r="AF27" s="20"/>
      <c r="AG27" s="20"/>
      <c r="AH27" s="20">
        <f t="shared" si="19"/>
        <v>0</v>
      </c>
    </row>
    <row r="28" spans="2:34" hidden="1" outlineLevel="2" x14ac:dyDescent="0.25">
      <c r="B28" s="28"/>
      <c r="F28" s="3" t="s">
        <v>26</v>
      </c>
      <c r="H28" s="20">
        <f t="shared" si="11"/>
        <v>0</v>
      </c>
      <c r="I28" s="31">
        <f>'02 Tělocvična ZŠ'!H43</f>
        <v>0</v>
      </c>
      <c r="J28" s="31"/>
      <c r="K28" s="31">
        <f>'02 Tělocvična ZŠ'!I43</f>
        <v>0</v>
      </c>
      <c r="L28" s="20">
        <f t="shared" si="12"/>
        <v>0</v>
      </c>
      <c r="M28" s="20"/>
      <c r="N28" s="20">
        <f t="shared" si="13"/>
        <v>0</v>
      </c>
      <c r="O28" s="20"/>
      <c r="P28" s="31">
        <f>'02 Tělocvična ZŠ'!N43</f>
        <v>0</v>
      </c>
      <c r="Q28" s="31">
        <f>'02 Tělocvična ZŠ'!P43</f>
        <v>0</v>
      </c>
      <c r="R28" s="20">
        <f t="shared" si="14"/>
        <v>0</v>
      </c>
      <c r="S28" s="20"/>
      <c r="T28" s="20">
        <f t="shared" si="15"/>
        <v>0</v>
      </c>
      <c r="U28" s="20">
        <f t="shared" si="16"/>
        <v>0</v>
      </c>
      <c r="V28" s="20"/>
      <c r="W28" s="20"/>
      <c r="X28" s="20">
        <f>'02 Tělocvična ZŠ'!U43</f>
        <v>0</v>
      </c>
      <c r="Y28" s="20">
        <f>'02 Tělocvična ZŠ'!V43</f>
        <v>0</v>
      </c>
      <c r="Z28" s="31">
        <f>'02 Tělocvična ZŠ'!W43</f>
        <v>0</v>
      </c>
      <c r="AA28" s="20">
        <f t="shared" si="17"/>
        <v>0</v>
      </c>
      <c r="AB28" s="20"/>
      <c r="AC28" s="31">
        <f>'02 Tělocvična ZŠ'!R43</f>
        <v>0</v>
      </c>
      <c r="AD28" s="31">
        <f>'02 Tělocvična ZŠ'!S43</f>
        <v>0</v>
      </c>
      <c r="AE28" s="20">
        <f t="shared" si="18"/>
        <v>0</v>
      </c>
      <c r="AF28" s="20"/>
      <c r="AG28" s="20"/>
      <c r="AH28" s="20">
        <f t="shared" si="19"/>
        <v>0</v>
      </c>
    </row>
    <row r="29" spans="2:34" hidden="1" outlineLevel="2" x14ac:dyDescent="0.25">
      <c r="B29" s="28"/>
      <c r="F29" s="3" t="s">
        <v>27</v>
      </c>
      <c r="H29" s="20">
        <f t="shared" si="11"/>
        <v>0</v>
      </c>
      <c r="I29" s="31">
        <f>'02 Tělocvična ZŠ'!H44</f>
        <v>0</v>
      </c>
      <c r="J29" s="31"/>
      <c r="K29" s="31">
        <f>'02 Tělocvična ZŠ'!I44</f>
        <v>0</v>
      </c>
      <c r="L29" s="20">
        <f t="shared" si="12"/>
        <v>0</v>
      </c>
      <c r="M29" s="20"/>
      <c r="N29" s="20">
        <f t="shared" si="13"/>
        <v>0</v>
      </c>
      <c r="O29" s="20"/>
      <c r="P29" s="31">
        <f>'02 Tělocvična ZŠ'!N44</f>
        <v>0</v>
      </c>
      <c r="Q29" s="31">
        <f>'02 Tělocvična ZŠ'!P44</f>
        <v>0</v>
      </c>
      <c r="R29" s="20">
        <f t="shared" si="14"/>
        <v>0</v>
      </c>
      <c r="S29" s="20"/>
      <c r="T29" s="20">
        <f t="shared" si="15"/>
        <v>0</v>
      </c>
      <c r="U29" s="20">
        <f t="shared" si="16"/>
        <v>0</v>
      </c>
      <c r="V29" s="20"/>
      <c r="W29" s="20"/>
      <c r="X29" s="20">
        <f>'02 Tělocvična ZŠ'!U44</f>
        <v>0</v>
      </c>
      <c r="Y29" s="20">
        <f>'02 Tělocvična ZŠ'!V44</f>
        <v>0</v>
      </c>
      <c r="Z29" s="31">
        <f>'02 Tělocvična ZŠ'!W44</f>
        <v>0</v>
      </c>
      <c r="AA29" s="20">
        <f t="shared" si="17"/>
        <v>0</v>
      </c>
      <c r="AB29" s="20"/>
      <c r="AC29" s="31">
        <f>'02 Tělocvična ZŠ'!R44</f>
        <v>0</v>
      </c>
      <c r="AD29" s="31">
        <f>'02 Tělocvična ZŠ'!S44</f>
        <v>0</v>
      </c>
      <c r="AE29" s="20">
        <f t="shared" si="18"/>
        <v>0</v>
      </c>
      <c r="AF29" s="20"/>
      <c r="AG29" s="20"/>
      <c r="AH29" s="20">
        <f t="shared" si="19"/>
        <v>0</v>
      </c>
    </row>
    <row r="30" spans="2:34" hidden="1" outlineLevel="2" x14ac:dyDescent="0.25">
      <c r="B30" s="28"/>
      <c r="F30" s="3" t="s">
        <v>28</v>
      </c>
      <c r="H30" s="20">
        <f t="shared" si="11"/>
        <v>0</v>
      </c>
      <c r="I30" s="31">
        <f>'02 Tělocvična ZŠ'!H45</f>
        <v>0</v>
      </c>
      <c r="J30" s="31"/>
      <c r="K30" s="31">
        <f>'02 Tělocvična ZŠ'!I45</f>
        <v>0</v>
      </c>
      <c r="L30" s="20">
        <f t="shared" si="12"/>
        <v>0</v>
      </c>
      <c r="M30" s="20"/>
      <c r="N30" s="20">
        <f t="shared" si="13"/>
        <v>0</v>
      </c>
      <c r="O30" s="20"/>
      <c r="P30" s="31">
        <f>'02 Tělocvična ZŠ'!N45</f>
        <v>0</v>
      </c>
      <c r="Q30" s="31">
        <f>'02 Tělocvična ZŠ'!P45</f>
        <v>0</v>
      </c>
      <c r="R30" s="20">
        <f t="shared" si="14"/>
        <v>0</v>
      </c>
      <c r="S30" s="20"/>
      <c r="T30" s="20">
        <f t="shared" si="15"/>
        <v>0</v>
      </c>
      <c r="U30" s="20">
        <f t="shared" si="16"/>
        <v>0</v>
      </c>
      <c r="V30" s="20"/>
      <c r="W30" s="20"/>
      <c r="X30" s="20">
        <f>'02 Tělocvična ZŠ'!U45</f>
        <v>0</v>
      </c>
      <c r="Y30" s="20">
        <f>'02 Tělocvična ZŠ'!V45</f>
        <v>0</v>
      </c>
      <c r="Z30" s="31">
        <f>'02 Tělocvična ZŠ'!W45</f>
        <v>0</v>
      </c>
      <c r="AA30" s="20">
        <f t="shared" si="17"/>
        <v>0</v>
      </c>
      <c r="AB30" s="20"/>
      <c r="AC30" s="31">
        <f>'02 Tělocvična ZŠ'!R45</f>
        <v>0</v>
      </c>
      <c r="AD30" s="31">
        <f>'02 Tělocvična ZŠ'!S45</f>
        <v>0</v>
      </c>
      <c r="AE30" s="20">
        <f t="shared" si="18"/>
        <v>0</v>
      </c>
      <c r="AF30" s="20"/>
      <c r="AG30" s="20"/>
      <c r="AH30" s="20">
        <f t="shared" si="19"/>
        <v>0</v>
      </c>
    </row>
    <row r="31" spans="2:34" hidden="1" outlineLevel="2" x14ac:dyDescent="0.25">
      <c r="B31" s="28"/>
      <c r="F31" s="3" t="s">
        <v>29</v>
      </c>
      <c r="H31" s="20">
        <f t="shared" si="11"/>
        <v>0</v>
      </c>
      <c r="I31" s="31">
        <f>'02 Tělocvična ZŠ'!H46</f>
        <v>0</v>
      </c>
      <c r="J31" s="31"/>
      <c r="K31" s="31">
        <f>'02 Tělocvična ZŠ'!I46</f>
        <v>0</v>
      </c>
      <c r="L31" s="20">
        <f t="shared" si="12"/>
        <v>0</v>
      </c>
      <c r="M31" s="20"/>
      <c r="N31" s="20">
        <f t="shared" si="13"/>
        <v>0</v>
      </c>
      <c r="O31" s="20"/>
      <c r="P31" s="31">
        <f>'02 Tělocvična ZŠ'!N46</f>
        <v>0</v>
      </c>
      <c r="Q31" s="31">
        <f>'02 Tělocvična ZŠ'!P46</f>
        <v>0</v>
      </c>
      <c r="R31" s="20">
        <f t="shared" si="14"/>
        <v>0</v>
      </c>
      <c r="S31" s="20"/>
      <c r="T31" s="20">
        <f t="shared" si="15"/>
        <v>0</v>
      </c>
      <c r="U31" s="20">
        <f t="shared" si="16"/>
        <v>0</v>
      </c>
      <c r="V31" s="20"/>
      <c r="W31" s="20"/>
      <c r="X31" s="20">
        <f>'02 Tělocvična ZŠ'!U46</f>
        <v>0</v>
      </c>
      <c r="Y31" s="20">
        <f>'02 Tělocvična ZŠ'!V46</f>
        <v>0</v>
      </c>
      <c r="Z31" s="31">
        <f>'02 Tělocvična ZŠ'!W46</f>
        <v>0</v>
      </c>
      <c r="AA31" s="20">
        <f t="shared" si="17"/>
        <v>0</v>
      </c>
      <c r="AB31" s="20"/>
      <c r="AC31" s="31">
        <f>'02 Tělocvična ZŠ'!R46</f>
        <v>0</v>
      </c>
      <c r="AD31" s="31">
        <f>'02 Tělocvična ZŠ'!S46</f>
        <v>0</v>
      </c>
      <c r="AE31" s="20">
        <f t="shared" si="18"/>
        <v>0</v>
      </c>
      <c r="AF31" s="20"/>
      <c r="AG31" s="20"/>
      <c r="AH31" s="20">
        <f t="shared" si="19"/>
        <v>0</v>
      </c>
    </row>
    <row r="32" spans="2:34" hidden="1" outlineLevel="2" x14ac:dyDescent="0.25">
      <c r="B32" s="28"/>
      <c r="F32" s="18" t="s">
        <v>30</v>
      </c>
      <c r="G32" s="34"/>
      <c r="H32" s="21">
        <f t="shared" si="11"/>
        <v>0</v>
      </c>
      <c r="I32" s="21">
        <f>'02 Tělocvična ZŠ'!H47</f>
        <v>0</v>
      </c>
      <c r="J32" s="21"/>
      <c r="K32" s="21">
        <f>'02 Tělocvična ZŠ'!I47</f>
        <v>0</v>
      </c>
      <c r="L32" s="21">
        <f t="shared" si="12"/>
        <v>0</v>
      </c>
      <c r="M32" s="20"/>
      <c r="N32" s="21">
        <f t="shared" si="13"/>
        <v>0</v>
      </c>
      <c r="O32" s="21"/>
      <c r="P32" s="21">
        <f>'02 Tělocvična ZŠ'!N47</f>
        <v>0</v>
      </c>
      <c r="Q32" s="21">
        <f>'02 Tělocvična ZŠ'!P47</f>
        <v>0</v>
      </c>
      <c r="R32" s="21">
        <f t="shared" si="14"/>
        <v>0</v>
      </c>
      <c r="S32" s="20"/>
      <c r="T32" s="21">
        <f t="shared" si="15"/>
        <v>0</v>
      </c>
      <c r="U32" s="21">
        <f t="shared" si="16"/>
        <v>0</v>
      </c>
      <c r="V32" s="21"/>
      <c r="W32" s="21"/>
      <c r="X32" s="21">
        <f>'02 Tělocvična ZŠ'!U47</f>
        <v>0</v>
      </c>
      <c r="Y32" s="21">
        <f>'02 Tělocvična ZŠ'!V47</f>
        <v>0</v>
      </c>
      <c r="Z32" s="21">
        <f>'02 Tělocvična ZŠ'!W47</f>
        <v>0</v>
      </c>
      <c r="AA32" s="21">
        <f t="shared" si="17"/>
        <v>0</v>
      </c>
      <c r="AB32" s="20"/>
      <c r="AC32" s="21">
        <f>'02 Tělocvična ZŠ'!R47</f>
        <v>0</v>
      </c>
      <c r="AD32" s="21">
        <f>'02 Tělocvična ZŠ'!S47</f>
        <v>0</v>
      </c>
      <c r="AE32" s="21">
        <f t="shared" si="18"/>
        <v>0</v>
      </c>
      <c r="AF32" s="20"/>
      <c r="AG32" s="21"/>
      <c r="AH32" s="21">
        <f t="shared" si="19"/>
        <v>0</v>
      </c>
    </row>
    <row r="33" spans="2:34" s="19" customFormat="1" ht="15" collapsed="1" x14ac:dyDescent="0.25">
      <c r="B33" s="26">
        <v>2</v>
      </c>
      <c r="C33" s="22" t="s">
        <v>193</v>
      </c>
      <c r="D33" s="22"/>
      <c r="E33" s="22"/>
      <c r="F33" s="22" t="s">
        <v>31</v>
      </c>
      <c r="G33" s="22"/>
      <c r="H33" s="23">
        <f>SUM(H21:H32)</f>
        <v>223.2</v>
      </c>
      <c r="I33" s="23"/>
      <c r="J33" s="23"/>
      <c r="K33" s="23">
        <f>SUM(K21:K32)</f>
        <v>103156.34</v>
      </c>
      <c r="L33" s="23">
        <f>SUM(L21:L32)</f>
        <v>118629.79099999998</v>
      </c>
      <c r="M33" s="23"/>
      <c r="N33" s="23">
        <f>SUM(N21:N32)</f>
        <v>13833.8</v>
      </c>
      <c r="O33" s="23"/>
      <c r="P33" s="23"/>
      <c r="Q33" s="23">
        <f>SUM(Q21:Q32)</f>
        <v>44868.32</v>
      </c>
      <c r="R33" s="23">
        <f>SUM(R21:R32)</f>
        <v>54290.667200000004</v>
      </c>
      <c r="S33" s="23"/>
      <c r="T33" s="23">
        <f>SUM(T21:T32)</f>
        <v>0</v>
      </c>
      <c r="U33" s="23">
        <f>SUM(U21:U32)</f>
        <v>0</v>
      </c>
      <c r="V33" s="23"/>
      <c r="W33" s="23"/>
      <c r="X33" s="23"/>
      <c r="Y33" s="23"/>
      <c r="Z33" s="23">
        <f>SUM(Z21:Z32)</f>
        <v>0</v>
      </c>
      <c r="AA33" s="23">
        <f>SUM(AA21:AA32)</f>
        <v>0</v>
      </c>
      <c r="AB33" s="23"/>
      <c r="AC33" s="23">
        <f>SUM(AC21:AC32)</f>
        <v>0</v>
      </c>
      <c r="AD33" s="23">
        <f t="shared" ref="AD33" si="20">SUM(AD21:AD32)</f>
        <v>0</v>
      </c>
      <c r="AE33" s="23">
        <f t="shared" ref="AE33" si="21">SUM(AE21:AE32)</f>
        <v>0</v>
      </c>
      <c r="AF33" s="23"/>
      <c r="AG33" s="23">
        <f t="shared" ref="AG33" si="22">SUM(AG21:AG32)</f>
        <v>0</v>
      </c>
      <c r="AH33" s="23">
        <f t="shared" ref="AH33" si="23">SUM(AH21:AH32)</f>
        <v>0</v>
      </c>
    </row>
    <row r="34" spans="2:34" s="19" customFormat="1" ht="5.25" hidden="1" customHeight="1" outlineLevel="1" x14ac:dyDescent="0.25">
      <c r="B34" s="27"/>
      <c r="C34" s="24"/>
      <c r="D34" s="24"/>
      <c r="E34" s="24"/>
      <c r="F34" s="24"/>
      <c r="G34" s="24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</row>
    <row r="35" spans="2:34" hidden="1" outlineLevel="2" x14ac:dyDescent="0.25">
      <c r="B35" s="28"/>
      <c r="F35" s="3" t="s">
        <v>19</v>
      </c>
      <c r="H35" s="20">
        <f>SUM(I35:J35)</f>
        <v>446.4</v>
      </c>
      <c r="I35" s="31">
        <f>'03 Jídelna ZŠ'!F36</f>
        <v>446.4</v>
      </c>
      <c r="J35" s="31"/>
      <c r="K35" s="31">
        <f>'03 Jídelna ZŠ'!G36</f>
        <v>206312.69</v>
      </c>
      <c r="L35" s="20">
        <f>K35*(1+L$5)</f>
        <v>237259.59349999999</v>
      </c>
      <c r="M35" s="20"/>
      <c r="N35" s="20">
        <f>SUM(O35:P35)</f>
        <v>5390</v>
      </c>
      <c r="O35" s="20"/>
      <c r="P35" s="31">
        <f>'03 Jídelna ZŠ'!N36</f>
        <v>5390</v>
      </c>
      <c r="Q35" s="31">
        <f>'03 Jídelna ZŠ'!Q36</f>
        <v>17228.580000000002</v>
      </c>
      <c r="R35" s="20">
        <f>Q35*(1+R$5)</f>
        <v>20846.5818</v>
      </c>
      <c r="S35" s="20"/>
      <c r="T35" s="20">
        <f>SUM(V35,X35)</f>
        <v>0</v>
      </c>
      <c r="U35" s="20">
        <f>SUM(W35,Y35)</f>
        <v>0</v>
      </c>
      <c r="V35" s="20"/>
      <c r="W35" s="20"/>
      <c r="X35" s="20">
        <f>'03 Jídelna ZŠ'!W36</f>
        <v>0</v>
      </c>
      <c r="Y35" s="20">
        <f>'03 Jídelna ZŠ'!X36</f>
        <v>0</v>
      </c>
      <c r="Z35" s="20">
        <f>'03 Jídelna ZŠ'!Y36</f>
        <v>0</v>
      </c>
      <c r="AA35" s="20">
        <f>Z35*(1+AA$5)</f>
        <v>0</v>
      </c>
      <c r="AB35" s="20"/>
      <c r="AC35" s="31">
        <f>'03 Jídelna ZŠ'!S36</f>
        <v>571</v>
      </c>
      <c r="AD35" s="31">
        <f>'03 Jídelna ZŠ'!U36</f>
        <v>48435.3</v>
      </c>
      <c r="AE35" s="20">
        <f>AD35*(1+AE$5)</f>
        <v>55700.595000000001</v>
      </c>
      <c r="AF35" s="20"/>
      <c r="AG35" s="20"/>
      <c r="AH35" s="20">
        <f>AG35*(1+AH$5)</f>
        <v>0</v>
      </c>
    </row>
    <row r="36" spans="2:34" hidden="1" outlineLevel="2" x14ac:dyDescent="0.25">
      <c r="B36" s="28"/>
      <c r="F36" s="3" t="s">
        <v>20</v>
      </c>
      <c r="H36" s="20">
        <f t="shared" ref="H36:H46" si="24">SUM(I36:J36)</f>
        <v>0</v>
      </c>
      <c r="I36" s="31">
        <f>'03 Jídelna ZŠ'!F37</f>
        <v>0</v>
      </c>
      <c r="J36" s="31"/>
      <c r="K36" s="31">
        <f>'03 Jídelna ZŠ'!G37</f>
        <v>0</v>
      </c>
      <c r="L36" s="20">
        <f t="shared" ref="L36:L46" si="25">K36*(1+L$5)</f>
        <v>0</v>
      </c>
      <c r="M36" s="20"/>
      <c r="N36" s="20">
        <f t="shared" ref="N36:N46" si="26">SUM(O36:P36)</f>
        <v>5205</v>
      </c>
      <c r="O36" s="20"/>
      <c r="P36" s="31">
        <f>'03 Jídelna ZŠ'!N37</f>
        <v>5205</v>
      </c>
      <c r="Q36" s="31">
        <f>'03 Jídelna ZŠ'!Q37</f>
        <v>16705.11</v>
      </c>
      <c r="R36" s="20">
        <f t="shared" ref="R36:R46" si="27">Q36*(1+R$5)</f>
        <v>20213.183099999998</v>
      </c>
      <c r="S36" s="20"/>
      <c r="T36" s="20">
        <f t="shared" ref="T36:T46" si="28">SUM(V36,X36)</f>
        <v>0</v>
      </c>
      <c r="U36" s="20">
        <f t="shared" ref="U36:U46" si="29">SUM(W36,Y36)</f>
        <v>0</v>
      </c>
      <c r="V36" s="20"/>
      <c r="W36" s="20"/>
      <c r="X36" s="20">
        <f>'03 Jídelna ZŠ'!W37</f>
        <v>0</v>
      </c>
      <c r="Y36" s="20">
        <f>'03 Jídelna ZŠ'!X37</f>
        <v>0</v>
      </c>
      <c r="Z36" s="20">
        <f>'03 Jídelna ZŠ'!Y37</f>
        <v>0</v>
      </c>
      <c r="AA36" s="20">
        <f t="shared" ref="AA36:AA46" si="30">Z36*(1+AA$5)</f>
        <v>0</v>
      </c>
      <c r="AB36" s="20"/>
      <c r="AC36" s="31">
        <f>'03 Jídelna ZŠ'!S37</f>
        <v>0</v>
      </c>
      <c r="AD36" s="31">
        <f>'03 Jídelna ZŠ'!U37</f>
        <v>0</v>
      </c>
      <c r="AE36" s="20">
        <f t="shared" ref="AE36:AE46" si="31">AD36*(1+AE$5)</f>
        <v>0</v>
      </c>
      <c r="AF36" s="20"/>
      <c r="AG36" s="20"/>
      <c r="AH36" s="20">
        <f t="shared" ref="AH36:AH46" si="32">AG36*(1+AH$5)</f>
        <v>0</v>
      </c>
    </row>
    <row r="37" spans="2:34" hidden="1" outlineLevel="2" x14ac:dyDescent="0.25">
      <c r="B37" s="28"/>
      <c r="F37" s="3" t="s">
        <v>21</v>
      </c>
      <c r="H37" s="20">
        <f t="shared" si="24"/>
        <v>0</v>
      </c>
      <c r="I37" s="31">
        <f>'03 Jídelna ZŠ'!F38</f>
        <v>0</v>
      </c>
      <c r="J37" s="31"/>
      <c r="K37" s="31">
        <f>'03 Jídelna ZŠ'!G38</f>
        <v>0</v>
      </c>
      <c r="L37" s="20">
        <f t="shared" si="25"/>
        <v>0</v>
      </c>
      <c r="M37" s="20"/>
      <c r="N37" s="20">
        <f t="shared" si="26"/>
        <v>4281</v>
      </c>
      <c r="O37" s="20"/>
      <c r="P37" s="31">
        <f>'03 Jídelna ZŠ'!N38</f>
        <v>4281</v>
      </c>
      <c r="Q37" s="31">
        <f>'03 Jídelna ZŠ'!Q38</f>
        <v>14407.87</v>
      </c>
      <c r="R37" s="20">
        <f t="shared" si="27"/>
        <v>17433.522700000001</v>
      </c>
      <c r="S37" s="20"/>
      <c r="T37" s="20">
        <f t="shared" si="28"/>
        <v>0</v>
      </c>
      <c r="U37" s="20">
        <f t="shared" si="29"/>
        <v>0</v>
      </c>
      <c r="V37" s="20"/>
      <c r="W37" s="20"/>
      <c r="X37" s="20">
        <f>'03 Jídelna ZŠ'!W38</f>
        <v>0</v>
      </c>
      <c r="Y37" s="20">
        <f>'03 Jídelna ZŠ'!X38</f>
        <v>0</v>
      </c>
      <c r="Z37" s="20">
        <f>'03 Jídelna ZŠ'!Y38</f>
        <v>0</v>
      </c>
      <c r="AA37" s="20">
        <f t="shared" si="30"/>
        <v>0</v>
      </c>
      <c r="AB37" s="20"/>
      <c r="AC37" s="31">
        <f>'03 Jídelna ZŠ'!S38</f>
        <v>0</v>
      </c>
      <c r="AD37" s="31">
        <f>'03 Jídelna ZŠ'!U38</f>
        <v>0</v>
      </c>
      <c r="AE37" s="20">
        <f t="shared" si="31"/>
        <v>0</v>
      </c>
      <c r="AF37" s="20"/>
      <c r="AG37" s="20"/>
      <c r="AH37" s="20">
        <f t="shared" si="32"/>
        <v>0</v>
      </c>
    </row>
    <row r="38" spans="2:34" hidden="1" outlineLevel="2" x14ac:dyDescent="0.25">
      <c r="B38" s="28"/>
      <c r="F38" s="3" t="s">
        <v>22</v>
      </c>
      <c r="H38" s="20">
        <f t="shared" si="24"/>
        <v>0</v>
      </c>
      <c r="I38" s="31">
        <f>'03 Jídelna ZŠ'!F39</f>
        <v>0</v>
      </c>
      <c r="J38" s="31"/>
      <c r="K38" s="31">
        <f>'03 Jídelna ZŠ'!G39</f>
        <v>0</v>
      </c>
      <c r="L38" s="20">
        <f t="shared" si="25"/>
        <v>0</v>
      </c>
      <c r="M38" s="20"/>
      <c r="N38" s="20">
        <f t="shared" si="26"/>
        <v>5075</v>
      </c>
      <c r="O38" s="20"/>
      <c r="P38" s="31">
        <f>'03 Jídelna ZŠ'!N39</f>
        <v>5075</v>
      </c>
      <c r="Q38" s="31">
        <f>'03 Jídelna ZŠ'!Q39</f>
        <v>16238.57</v>
      </c>
      <c r="R38" s="20">
        <f t="shared" si="27"/>
        <v>19648.669699999999</v>
      </c>
      <c r="S38" s="20"/>
      <c r="T38" s="20">
        <f t="shared" si="28"/>
        <v>0</v>
      </c>
      <c r="U38" s="20">
        <f t="shared" si="29"/>
        <v>0</v>
      </c>
      <c r="V38" s="20"/>
      <c r="W38" s="20"/>
      <c r="X38" s="20">
        <f>'03 Jídelna ZŠ'!W39</f>
        <v>0</v>
      </c>
      <c r="Y38" s="20">
        <f>'03 Jídelna ZŠ'!X39</f>
        <v>0</v>
      </c>
      <c r="Z38" s="20">
        <f>'03 Jídelna ZŠ'!Y39</f>
        <v>0</v>
      </c>
      <c r="AA38" s="20">
        <f t="shared" si="30"/>
        <v>0</v>
      </c>
      <c r="AB38" s="20"/>
      <c r="AC38" s="31">
        <f>'03 Jídelna ZŠ'!S39</f>
        <v>0</v>
      </c>
      <c r="AD38" s="31">
        <f>'03 Jídelna ZŠ'!U39</f>
        <v>0</v>
      </c>
      <c r="AE38" s="20">
        <f t="shared" si="31"/>
        <v>0</v>
      </c>
      <c r="AF38" s="20"/>
      <c r="AG38" s="20"/>
      <c r="AH38" s="20">
        <f t="shared" si="32"/>
        <v>0</v>
      </c>
    </row>
    <row r="39" spans="2:34" hidden="1" outlineLevel="2" x14ac:dyDescent="0.25">
      <c r="B39" s="28"/>
      <c r="F39" s="3" t="s">
        <v>23</v>
      </c>
      <c r="H39" s="20">
        <f t="shared" si="24"/>
        <v>0</v>
      </c>
      <c r="I39" s="31">
        <f>'03 Jídelna ZŠ'!F40</f>
        <v>0</v>
      </c>
      <c r="J39" s="31"/>
      <c r="K39" s="31">
        <f>'03 Jídelna ZŠ'!G40</f>
        <v>0</v>
      </c>
      <c r="L39" s="20">
        <f t="shared" si="25"/>
        <v>0</v>
      </c>
      <c r="M39" s="20"/>
      <c r="N39" s="20">
        <f t="shared" si="26"/>
        <v>5193</v>
      </c>
      <c r="O39" s="20"/>
      <c r="P39" s="31">
        <f>'03 Jídelna ZŠ'!N40</f>
        <v>5193</v>
      </c>
      <c r="Q39" s="31">
        <f>'03 Jídelna ZŠ'!Q40</f>
        <v>16452.22</v>
      </c>
      <c r="R39" s="20">
        <f t="shared" si="27"/>
        <v>19907.1862</v>
      </c>
      <c r="S39" s="20"/>
      <c r="T39" s="20">
        <f t="shared" si="28"/>
        <v>0</v>
      </c>
      <c r="U39" s="20">
        <f t="shared" si="29"/>
        <v>0</v>
      </c>
      <c r="V39" s="20"/>
      <c r="W39" s="20"/>
      <c r="X39" s="20">
        <f>'03 Jídelna ZŠ'!W40</f>
        <v>0</v>
      </c>
      <c r="Y39" s="20">
        <f>'03 Jídelna ZŠ'!X40</f>
        <v>0</v>
      </c>
      <c r="Z39" s="20">
        <f>'03 Jídelna ZŠ'!Y40</f>
        <v>0</v>
      </c>
      <c r="AA39" s="20">
        <f t="shared" si="30"/>
        <v>0</v>
      </c>
      <c r="AB39" s="20"/>
      <c r="AC39" s="31">
        <f>'03 Jídelna ZŠ'!S40</f>
        <v>0</v>
      </c>
      <c r="AD39" s="31">
        <f>'03 Jídelna ZŠ'!U40</f>
        <v>0</v>
      </c>
      <c r="AE39" s="20">
        <f t="shared" si="31"/>
        <v>0</v>
      </c>
      <c r="AF39" s="20"/>
      <c r="AG39" s="20"/>
      <c r="AH39" s="20">
        <f t="shared" si="32"/>
        <v>0</v>
      </c>
    </row>
    <row r="40" spans="2:34" hidden="1" outlineLevel="2" x14ac:dyDescent="0.25">
      <c r="B40" s="28"/>
      <c r="F40" s="3" t="s">
        <v>24</v>
      </c>
      <c r="H40" s="20">
        <f t="shared" si="24"/>
        <v>0</v>
      </c>
      <c r="I40" s="31">
        <f>'03 Jídelna ZŠ'!F41</f>
        <v>0</v>
      </c>
      <c r="J40" s="31"/>
      <c r="K40" s="31">
        <f>'03 Jídelna ZŠ'!G41</f>
        <v>0</v>
      </c>
      <c r="L40" s="20">
        <f t="shared" si="25"/>
        <v>0</v>
      </c>
      <c r="M40" s="20"/>
      <c r="N40" s="20">
        <f t="shared" si="26"/>
        <v>4577</v>
      </c>
      <c r="O40" s="20"/>
      <c r="P40" s="31">
        <f>'03 Jídelna ZŠ'!N41</f>
        <v>4577</v>
      </c>
      <c r="Q40" s="31">
        <f>'03 Jídelna ZŠ'!Q41</f>
        <v>15292.33</v>
      </c>
      <c r="R40" s="20">
        <f t="shared" si="27"/>
        <v>18503.719300000001</v>
      </c>
      <c r="S40" s="20"/>
      <c r="T40" s="20">
        <f t="shared" si="28"/>
        <v>0</v>
      </c>
      <c r="U40" s="20">
        <f t="shared" si="29"/>
        <v>0</v>
      </c>
      <c r="V40" s="20"/>
      <c r="W40" s="20"/>
      <c r="X40" s="20">
        <f>'03 Jídelna ZŠ'!W41</f>
        <v>0</v>
      </c>
      <c r="Y40" s="20">
        <f>'03 Jídelna ZŠ'!X41</f>
        <v>0</v>
      </c>
      <c r="Z40" s="20">
        <f>'03 Jídelna ZŠ'!Y41</f>
        <v>0</v>
      </c>
      <c r="AA40" s="20">
        <f t="shared" si="30"/>
        <v>0</v>
      </c>
      <c r="AB40" s="20"/>
      <c r="AC40" s="31">
        <f>'03 Jídelna ZŠ'!S41</f>
        <v>0</v>
      </c>
      <c r="AD40" s="31">
        <f>'03 Jídelna ZŠ'!U41</f>
        <v>0</v>
      </c>
      <c r="AE40" s="20">
        <f t="shared" si="31"/>
        <v>0</v>
      </c>
      <c r="AF40" s="20"/>
      <c r="AG40" s="20"/>
      <c r="AH40" s="20">
        <f t="shared" si="32"/>
        <v>0</v>
      </c>
    </row>
    <row r="41" spans="2:34" hidden="1" outlineLevel="2" x14ac:dyDescent="0.25">
      <c r="B41" s="28"/>
      <c r="F41" s="3" t="s">
        <v>25</v>
      </c>
      <c r="H41" s="20">
        <f t="shared" si="24"/>
        <v>0</v>
      </c>
      <c r="I41" s="31">
        <f>'03 Jídelna ZŠ'!F42</f>
        <v>0</v>
      </c>
      <c r="J41" s="31"/>
      <c r="K41" s="31">
        <f>'03 Jídelna ZŠ'!G42</f>
        <v>0</v>
      </c>
      <c r="L41" s="20">
        <f t="shared" si="25"/>
        <v>0</v>
      </c>
      <c r="M41" s="20"/>
      <c r="N41" s="20">
        <f t="shared" si="26"/>
        <v>1089</v>
      </c>
      <c r="O41" s="20"/>
      <c r="P41" s="31">
        <f>'03 Jídelna ZŠ'!N42</f>
        <v>1089</v>
      </c>
      <c r="Q41" s="31">
        <f>'03 Jídelna ZŠ'!Q42</f>
        <v>6973.97</v>
      </c>
      <c r="R41" s="20">
        <f t="shared" si="27"/>
        <v>8438.5036999999993</v>
      </c>
      <c r="S41" s="20"/>
      <c r="T41" s="20">
        <f t="shared" si="28"/>
        <v>0</v>
      </c>
      <c r="U41" s="20">
        <f t="shared" si="29"/>
        <v>0</v>
      </c>
      <c r="V41" s="20"/>
      <c r="W41" s="20"/>
      <c r="X41" s="20">
        <f>'03 Jídelna ZŠ'!W42</f>
        <v>0</v>
      </c>
      <c r="Y41" s="20">
        <f>'03 Jídelna ZŠ'!X42</f>
        <v>0</v>
      </c>
      <c r="Z41" s="20">
        <f>'03 Jídelna ZŠ'!Y42</f>
        <v>0</v>
      </c>
      <c r="AA41" s="20">
        <f t="shared" si="30"/>
        <v>0</v>
      </c>
      <c r="AB41" s="20"/>
      <c r="AC41" s="31">
        <f>'03 Jídelna ZŠ'!S42</f>
        <v>0</v>
      </c>
      <c r="AD41" s="31">
        <f>'03 Jídelna ZŠ'!U42</f>
        <v>0</v>
      </c>
      <c r="AE41" s="20">
        <f t="shared" si="31"/>
        <v>0</v>
      </c>
      <c r="AF41" s="20"/>
      <c r="AG41" s="20"/>
      <c r="AH41" s="20">
        <f t="shared" si="32"/>
        <v>0</v>
      </c>
    </row>
    <row r="42" spans="2:34" hidden="1" outlineLevel="2" x14ac:dyDescent="0.25">
      <c r="B42" s="28"/>
      <c r="F42" s="3" t="s">
        <v>26</v>
      </c>
      <c r="H42" s="20">
        <f t="shared" si="24"/>
        <v>0</v>
      </c>
      <c r="I42" s="31">
        <f>'03 Jídelna ZŠ'!F43</f>
        <v>0</v>
      </c>
      <c r="J42" s="31"/>
      <c r="K42" s="31">
        <f>'03 Jídelna ZŠ'!G43</f>
        <v>0</v>
      </c>
      <c r="L42" s="20">
        <f t="shared" si="25"/>
        <v>0</v>
      </c>
      <c r="M42" s="20"/>
      <c r="N42" s="20">
        <f t="shared" si="26"/>
        <v>2398</v>
      </c>
      <c r="O42" s="20"/>
      <c r="P42" s="31">
        <f>'03 Jídelna ZŠ'!N43</f>
        <v>2398</v>
      </c>
      <c r="Q42" s="31">
        <f>'03 Jídelna ZŠ'!Q43</f>
        <v>9598.08</v>
      </c>
      <c r="R42" s="20">
        <f t="shared" si="27"/>
        <v>11613.676799999999</v>
      </c>
      <c r="S42" s="20"/>
      <c r="T42" s="20">
        <f t="shared" si="28"/>
        <v>0</v>
      </c>
      <c r="U42" s="20">
        <f t="shared" si="29"/>
        <v>0</v>
      </c>
      <c r="V42" s="20"/>
      <c r="W42" s="20"/>
      <c r="X42" s="20">
        <f>'03 Jídelna ZŠ'!W43</f>
        <v>0</v>
      </c>
      <c r="Y42" s="20">
        <f>'03 Jídelna ZŠ'!X43</f>
        <v>0</v>
      </c>
      <c r="Z42" s="20">
        <f>'03 Jídelna ZŠ'!Y43</f>
        <v>0</v>
      </c>
      <c r="AA42" s="20">
        <f t="shared" si="30"/>
        <v>0</v>
      </c>
      <c r="AB42" s="20"/>
      <c r="AC42" s="31">
        <f>'03 Jídelna ZŠ'!S43</f>
        <v>0</v>
      </c>
      <c r="AD42" s="31">
        <f>'03 Jídelna ZŠ'!U43</f>
        <v>0</v>
      </c>
      <c r="AE42" s="20">
        <f t="shared" si="31"/>
        <v>0</v>
      </c>
      <c r="AF42" s="20"/>
      <c r="AG42" s="20"/>
      <c r="AH42" s="20">
        <f t="shared" si="32"/>
        <v>0</v>
      </c>
    </row>
    <row r="43" spans="2:34" hidden="1" outlineLevel="2" x14ac:dyDescent="0.25">
      <c r="B43" s="28"/>
      <c r="F43" s="3" t="s">
        <v>27</v>
      </c>
      <c r="H43" s="20">
        <f t="shared" si="24"/>
        <v>0</v>
      </c>
      <c r="I43" s="31">
        <f>'03 Jídelna ZŠ'!F44</f>
        <v>0</v>
      </c>
      <c r="J43" s="31"/>
      <c r="K43" s="31">
        <f>'03 Jídelna ZŠ'!G44</f>
        <v>0</v>
      </c>
      <c r="L43" s="20">
        <f t="shared" si="25"/>
        <v>0</v>
      </c>
      <c r="M43" s="20"/>
      <c r="N43" s="20">
        <f t="shared" si="26"/>
        <v>5856</v>
      </c>
      <c r="O43" s="20"/>
      <c r="P43" s="31">
        <f>'03 Jídelna ZŠ'!N44</f>
        <v>5856</v>
      </c>
      <c r="Q43" s="31">
        <f>'03 Jídelna ZŠ'!Q44</f>
        <v>17138.2</v>
      </c>
      <c r="R43" s="20">
        <f t="shared" si="27"/>
        <v>20737.222000000002</v>
      </c>
      <c r="S43" s="20"/>
      <c r="T43" s="20">
        <f t="shared" si="28"/>
        <v>0</v>
      </c>
      <c r="U43" s="20">
        <f t="shared" si="29"/>
        <v>0</v>
      </c>
      <c r="V43" s="20"/>
      <c r="W43" s="20"/>
      <c r="X43" s="20">
        <f>'03 Jídelna ZŠ'!W44</f>
        <v>0</v>
      </c>
      <c r="Y43" s="20">
        <f>'03 Jídelna ZŠ'!X44</f>
        <v>0</v>
      </c>
      <c r="Z43" s="20">
        <f>'03 Jídelna ZŠ'!Y44</f>
        <v>0</v>
      </c>
      <c r="AA43" s="20">
        <f t="shared" si="30"/>
        <v>0</v>
      </c>
      <c r="AB43" s="20"/>
      <c r="AC43" s="31">
        <f>'03 Jídelna ZŠ'!S44</f>
        <v>0</v>
      </c>
      <c r="AD43" s="31">
        <f>'03 Jídelna ZŠ'!U44</f>
        <v>0</v>
      </c>
      <c r="AE43" s="20">
        <f t="shared" si="31"/>
        <v>0</v>
      </c>
      <c r="AF43" s="20"/>
      <c r="AG43" s="20"/>
      <c r="AH43" s="20">
        <f t="shared" si="32"/>
        <v>0</v>
      </c>
    </row>
    <row r="44" spans="2:34" hidden="1" outlineLevel="2" x14ac:dyDescent="0.25">
      <c r="B44" s="28"/>
      <c r="F44" s="3" t="s">
        <v>28</v>
      </c>
      <c r="H44" s="20">
        <f t="shared" si="24"/>
        <v>0</v>
      </c>
      <c r="I44" s="31">
        <f>'03 Jídelna ZŠ'!F45</f>
        <v>0</v>
      </c>
      <c r="J44" s="31"/>
      <c r="K44" s="31">
        <f>'03 Jídelna ZŠ'!G45</f>
        <v>0</v>
      </c>
      <c r="L44" s="20">
        <f t="shared" si="25"/>
        <v>0</v>
      </c>
      <c r="M44" s="20"/>
      <c r="N44" s="20">
        <f t="shared" si="26"/>
        <v>5977</v>
      </c>
      <c r="O44" s="20"/>
      <c r="P44" s="31">
        <f>'03 Jídelna ZŠ'!N45</f>
        <v>5977</v>
      </c>
      <c r="Q44" s="31">
        <f>'03 Jídelna ZŠ'!Q45</f>
        <v>17266.25</v>
      </c>
      <c r="R44" s="20">
        <f t="shared" si="27"/>
        <v>20892.162499999999</v>
      </c>
      <c r="S44" s="20"/>
      <c r="T44" s="20">
        <f t="shared" si="28"/>
        <v>0</v>
      </c>
      <c r="U44" s="20">
        <f t="shared" si="29"/>
        <v>0</v>
      </c>
      <c r="V44" s="20"/>
      <c r="W44" s="20"/>
      <c r="X44" s="20">
        <f>'03 Jídelna ZŠ'!W45</f>
        <v>0</v>
      </c>
      <c r="Y44" s="20">
        <f>'03 Jídelna ZŠ'!X45</f>
        <v>0</v>
      </c>
      <c r="Z44" s="20">
        <f>'03 Jídelna ZŠ'!Y45</f>
        <v>0</v>
      </c>
      <c r="AA44" s="20">
        <f t="shared" si="30"/>
        <v>0</v>
      </c>
      <c r="AB44" s="20"/>
      <c r="AC44" s="31">
        <f>'03 Jídelna ZŠ'!S45</f>
        <v>0</v>
      </c>
      <c r="AD44" s="31">
        <f>'03 Jídelna ZŠ'!U45</f>
        <v>0</v>
      </c>
      <c r="AE44" s="20">
        <f t="shared" si="31"/>
        <v>0</v>
      </c>
      <c r="AF44" s="20"/>
      <c r="AG44" s="20"/>
      <c r="AH44" s="20">
        <f t="shared" si="32"/>
        <v>0</v>
      </c>
    </row>
    <row r="45" spans="2:34" hidden="1" outlineLevel="2" x14ac:dyDescent="0.25">
      <c r="B45" s="28"/>
      <c r="F45" s="3" t="s">
        <v>29</v>
      </c>
      <c r="H45" s="20">
        <f t="shared" si="24"/>
        <v>0</v>
      </c>
      <c r="I45" s="31">
        <f>'03 Jídelna ZŠ'!F46</f>
        <v>0</v>
      </c>
      <c r="J45" s="31"/>
      <c r="K45" s="31">
        <f>'03 Jídelna ZŠ'!G46</f>
        <v>0</v>
      </c>
      <c r="L45" s="20">
        <f t="shared" si="25"/>
        <v>0</v>
      </c>
      <c r="M45" s="20"/>
      <c r="N45" s="20">
        <f t="shared" si="26"/>
        <v>6201</v>
      </c>
      <c r="O45" s="20"/>
      <c r="P45" s="31">
        <f>'03 Jídelna ZŠ'!N46</f>
        <v>6201</v>
      </c>
      <c r="Q45" s="31">
        <f>'03 Jídelna ZŠ'!Q46</f>
        <v>17781.849999999999</v>
      </c>
      <c r="R45" s="20">
        <f t="shared" si="27"/>
        <v>21516.038499999999</v>
      </c>
      <c r="S45" s="20"/>
      <c r="T45" s="20">
        <f t="shared" si="28"/>
        <v>0</v>
      </c>
      <c r="U45" s="20">
        <f t="shared" si="29"/>
        <v>0</v>
      </c>
      <c r="V45" s="20"/>
      <c r="W45" s="20"/>
      <c r="X45" s="20">
        <f>'03 Jídelna ZŠ'!W46</f>
        <v>0</v>
      </c>
      <c r="Y45" s="20">
        <f>'03 Jídelna ZŠ'!X46</f>
        <v>0</v>
      </c>
      <c r="Z45" s="20">
        <f>'03 Jídelna ZŠ'!Y46</f>
        <v>0</v>
      </c>
      <c r="AA45" s="20">
        <f t="shared" si="30"/>
        <v>0</v>
      </c>
      <c r="AB45" s="20"/>
      <c r="AC45" s="31">
        <f>'03 Jídelna ZŠ'!S46</f>
        <v>0</v>
      </c>
      <c r="AD45" s="31">
        <f>'03 Jídelna ZŠ'!U46</f>
        <v>0</v>
      </c>
      <c r="AE45" s="20">
        <f t="shared" si="31"/>
        <v>0</v>
      </c>
      <c r="AF45" s="20"/>
      <c r="AG45" s="20"/>
      <c r="AH45" s="20">
        <f t="shared" si="32"/>
        <v>0</v>
      </c>
    </row>
    <row r="46" spans="2:34" hidden="1" outlineLevel="2" x14ac:dyDescent="0.25">
      <c r="B46" s="28"/>
      <c r="F46" s="18" t="s">
        <v>30</v>
      </c>
      <c r="G46" s="34"/>
      <c r="H46" s="21">
        <f t="shared" si="24"/>
        <v>0</v>
      </c>
      <c r="I46" s="21">
        <f>'03 Jídelna ZŠ'!F47</f>
        <v>0</v>
      </c>
      <c r="J46" s="21"/>
      <c r="K46" s="21">
        <f>'03 Jídelna ZŠ'!G47</f>
        <v>0</v>
      </c>
      <c r="L46" s="21">
        <f t="shared" si="25"/>
        <v>0</v>
      </c>
      <c r="M46" s="20"/>
      <c r="N46" s="21">
        <f t="shared" si="26"/>
        <v>5727</v>
      </c>
      <c r="O46" s="21"/>
      <c r="P46" s="21">
        <f>'03 Jídelna ZŠ'!N47</f>
        <v>5727</v>
      </c>
      <c r="Q46" s="21">
        <f>'03 Jídelna ZŠ'!Q47</f>
        <v>16411.919999999998</v>
      </c>
      <c r="R46" s="21">
        <f t="shared" si="27"/>
        <v>19858.423199999997</v>
      </c>
      <c r="S46" s="20"/>
      <c r="T46" s="21">
        <f t="shared" si="28"/>
        <v>0</v>
      </c>
      <c r="U46" s="21">
        <f t="shared" si="29"/>
        <v>0</v>
      </c>
      <c r="V46" s="21"/>
      <c r="W46" s="21"/>
      <c r="X46" s="21">
        <f>'03 Jídelna ZŠ'!W47</f>
        <v>0</v>
      </c>
      <c r="Y46" s="21">
        <f>'03 Jídelna ZŠ'!X47</f>
        <v>0</v>
      </c>
      <c r="Z46" s="21">
        <f>'03 Jídelna ZŠ'!Y47</f>
        <v>0</v>
      </c>
      <c r="AA46" s="21">
        <f t="shared" si="30"/>
        <v>0</v>
      </c>
      <c r="AB46" s="20"/>
      <c r="AC46" s="21">
        <f>'03 Jídelna ZŠ'!S47</f>
        <v>0</v>
      </c>
      <c r="AD46" s="21">
        <f>'03 Jídelna ZŠ'!U47</f>
        <v>0</v>
      </c>
      <c r="AE46" s="21">
        <f t="shared" si="31"/>
        <v>0</v>
      </c>
      <c r="AF46" s="20"/>
      <c r="AG46" s="21"/>
      <c r="AH46" s="21">
        <f t="shared" si="32"/>
        <v>0</v>
      </c>
    </row>
    <row r="47" spans="2:34" s="19" customFormat="1" ht="15" collapsed="1" x14ac:dyDescent="0.25">
      <c r="B47" s="26">
        <v>3</v>
      </c>
      <c r="C47" s="22" t="s">
        <v>194</v>
      </c>
      <c r="D47" s="22"/>
      <c r="E47" s="22"/>
      <c r="F47" s="22" t="s">
        <v>31</v>
      </c>
      <c r="G47" s="22"/>
      <c r="H47" s="23">
        <f>SUM(H35:H46)</f>
        <v>446.4</v>
      </c>
      <c r="I47" s="23"/>
      <c r="J47" s="23"/>
      <c r="K47" s="23">
        <f>SUM(K35:K46)</f>
        <v>206312.69</v>
      </c>
      <c r="L47" s="23">
        <f>SUM(L35:L46)</f>
        <v>237259.59349999999</v>
      </c>
      <c r="M47" s="23"/>
      <c r="N47" s="23">
        <f>SUM(N35:N46)</f>
        <v>56969</v>
      </c>
      <c r="O47" s="23"/>
      <c r="P47" s="23"/>
      <c r="Q47" s="23">
        <f>SUM(Q35:Q46)</f>
        <v>181494.95</v>
      </c>
      <c r="R47" s="23">
        <f>SUM(R35:R46)</f>
        <v>219608.88949999999</v>
      </c>
      <c r="S47" s="23"/>
      <c r="T47" s="23">
        <f>SUM(T35:T46)</f>
        <v>0</v>
      </c>
      <c r="U47" s="23">
        <f>SUM(U35:U46)</f>
        <v>0</v>
      </c>
      <c r="V47" s="23"/>
      <c r="W47" s="23"/>
      <c r="X47" s="23"/>
      <c r="Y47" s="23"/>
      <c r="Z47" s="23">
        <f>SUM(Z35:Z46)</f>
        <v>0</v>
      </c>
      <c r="AA47" s="23">
        <f>SUM(AA35:AA46)</f>
        <v>0</v>
      </c>
      <c r="AB47" s="23"/>
      <c r="AC47" s="23">
        <f>SUM(AC35:AC46)</f>
        <v>571</v>
      </c>
      <c r="AD47" s="23">
        <f t="shared" ref="AD47" si="33">SUM(AD35:AD46)</f>
        <v>48435.3</v>
      </c>
      <c r="AE47" s="23">
        <f t="shared" ref="AE47" si="34">SUM(AE35:AE46)</f>
        <v>55700.595000000001</v>
      </c>
      <c r="AF47" s="23"/>
      <c r="AG47" s="23">
        <f t="shared" ref="AG47" si="35">SUM(AG35:AG46)</f>
        <v>0</v>
      </c>
      <c r="AH47" s="23">
        <f t="shared" ref="AH47" si="36">SUM(AH35:AH46)</f>
        <v>0</v>
      </c>
    </row>
    <row r="48" spans="2:34" s="19" customFormat="1" ht="5.25" hidden="1" customHeight="1" outlineLevel="1" x14ac:dyDescent="0.25">
      <c r="B48" s="27"/>
      <c r="C48" s="24"/>
      <c r="D48" s="24"/>
      <c r="E48" s="24"/>
      <c r="F48" s="24"/>
      <c r="G48" s="24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</row>
    <row r="49" spans="2:34" hidden="1" outlineLevel="2" x14ac:dyDescent="0.25">
      <c r="B49" s="28"/>
      <c r="F49" s="3" t="s">
        <v>19</v>
      </c>
      <c r="H49" s="31">
        <f>SUM(I49:J49)</f>
        <v>0</v>
      </c>
      <c r="I49" s="31"/>
      <c r="J49" s="31"/>
      <c r="K49" s="31"/>
      <c r="L49" s="20">
        <f>K49*(1+L$5)</f>
        <v>0</v>
      </c>
      <c r="M49" s="20"/>
      <c r="N49" s="20">
        <f>SUM(O49:P49)</f>
        <v>7254</v>
      </c>
      <c r="O49" s="20"/>
      <c r="P49" s="31">
        <f>'04 ZŠ Žižkova'!N36</f>
        <v>7254</v>
      </c>
      <c r="Q49" s="31">
        <f>'04 ZŠ Žižkova'!P36</f>
        <v>22252.559999999998</v>
      </c>
      <c r="R49" s="20">
        <f>Q49*(1+R$5)</f>
        <v>26925.597599999997</v>
      </c>
      <c r="S49" s="20"/>
      <c r="T49" s="20">
        <f>SUM(V49,X49)</f>
        <v>172744.57</v>
      </c>
      <c r="U49" s="20">
        <f>SUM(W49,Y49)</f>
        <v>16180.493813283878</v>
      </c>
      <c r="V49" s="20">
        <f>'04 ZŠ Žižkova'!Y36</f>
        <v>172744.57</v>
      </c>
      <c r="W49" s="20">
        <f>'04 ZŠ Žižkova'!Z36</f>
        <v>16180.493813283878</v>
      </c>
      <c r="X49" s="20"/>
      <c r="Y49" s="20"/>
      <c r="Z49" s="20">
        <f>'04 ZŠ Žižkova'!AA36</f>
        <v>196400.71666666667</v>
      </c>
      <c r="AA49" s="20">
        <f>Z49*(1+AA$5)</f>
        <v>237644.86716666666</v>
      </c>
      <c r="AB49" s="20"/>
      <c r="AC49" s="31">
        <f>'04 ZŠ Žižkova'!R36</f>
        <v>269</v>
      </c>
      <c r="AD49" s="31">
        <f>'04 ZŠ Žižkova'!W36</f>
        <v>22812.38</v>
      </c>
      <c r="AE49" s="20">
        <f>AD49*(1+AE$5)</f>
        <v>26234.236999999997</v>
      </c>
      <c r="AF49" s="20"/>
      <c r="AG49" s="20"/>
      <c r="AH49" s="20">
        <f>AG49*(1+AH$5)</f>
        <v>0</v>
      </c>
    </row>
    <row r="50" spans="2:34" hidden="1" outlineLevel="2" x14ac:dyDescent="0.25">
      <c r="B50" s="28"/>
      <c r="F50" s="3" t="s">
        <v>20</v>
      </c>
      <c r="H50" s="31">
        <f t="shared" ref="H50:H60" si="37">SUM(I50:J50)</f>
        <v>0</v>
      </c>
      <c r="I50" s="31"/>
      <c r="J50" s="31"/>
      <c r="K50" s="31"/>
      <c r="L50" s="20">
        <f t="shared" ref="L50:L60" si="38">K50*(1+L$5)</f>
        <v>0</v>
      </c>
      <c r="M50" s="20"/>
      <c r="N50" s="20">
        <f t="shared" ref="N50:N60" si="39">SUM(O50:P50)</f>
        <v>0</v>
      </c>
      <c r="O50" s="20"/>
      <c r="P50" s="31">
        <f>'04 ZŠ Žižkova'!N37</f>
        <v>0</v>
      </c>
      <c r="Q50" s="31">
        <f>'04 ZŠ Žižkova'!P37</f>
        <v>0</v>
      </c>
      <c r="R50" s="20">
        <f t="shared" ref="R50:R60" si="40">Q50*(1+R$5)</f>
        <v>0</v>
      </c>
      <c r="S50" s="20"/>
      <c r="T50" s="20">
        <f t="shared" ref="T50:T60" si="41">SUM(V50,X50)</f>
        <v>0</v>
      </c>
      <c r="U50" s="20">
        <f t="shared" ref="U50:U60" si="42">SUM(W50,Y50)</f>
        <v>0</v>
      </c>
      <c r="V50" s="20">
        <f>'04 ZŠ Žižkova'!Y37</f>
        <v>0</v>
      </c>
      <c r="W50" s="20">
        <f>'04 ZŠ Žižkova'!Z37</f>
        <v>0</v>
      </c>
      <c r="X50" s="20"/>
      <c r="Y50" s="20"/>
      <c r="Z50" s="20">
        <f>'04 ZŠ Žižkova'!AA37</f>
        <v>0</v>
      </c>
      <c r="AA50" s="20">
        <f t="shared" ref="AA50:AA60" si="43">Z50*(1+AA$5)</f>
        <v>0</v>
      </c>
      <c r="AB50" s="20"/>
      <c r="AC50" s="31">
        <f>'04 ZŠ Žižkova'!R37</f>
        <v>0</v>
      </c>
      <c r="AD50" s="31">
        <f>'04 ZŠ Žižkova'!W37</f>
        <v>0</v>
      </c>
      <c r="AE50" s="20">
        <f t="shared" ref="AE50:AE60" si="44">AD50*(1+AE$5)</f>
        <v>0</v>
      </c>
      <c r="AF50" s="20"/>
      <c r="AG50" s="20"/>
      <c r="AH50" s="20">
        <f t="shared" ref="AH50:AH60" si="45">AG50*(1+AH$5)</f>
        <v>0</v>
      </c>
    </row>
    <row r="51" spans="2:34" hidden="1" outlineLevel="2" x14ac:dyDescent="0.25">
      <c r="B51" s="28"/>
      <c r="F51" s="3" t="s">
        <v>21</v>
      </c>
      <c r="H51" s="31">
        <f t="shared" si="37"/>
        <v>0</v>
      </c>
      <c r="I51" s="31"/>
      <c r="J51" s="31"/>
      <c r="K51" s="31"/>
      <c r="L51" s="20">
        <f t="shared" si="38"/>
        <v>0</v>
      </c>
      <c r="M51" s="20"/>
      <c r="N51" s="20">
        <f t="shared" si="39"/>
        <v>0</v>
      </c>
      <c r="O51" s="20"/>
      <c r="P51" s="31">
        <f>'04 ZŠ Žižkova'!N38</f>
        <v>0</v>
      </c>
      <c r="Q51" s="31">
        <f>'04 ZŠ Žižkova'!P38</f>
        <v>0</v>
      </c>
      <c r="R51" s="20">
        <f t="shared" si="40"/>
        <v>0</v>
      </c>
      <c r="S51" s="20"/>
      <c r="T51" s="20">
        <f t="shared" si="41"/>
        <v>0</v>
      </c>
      <c r="U51" s="20">
        <f t="shared" si="42"/>
        <v>0</v>
      </c>
      <c r="V51" s="20">
        <f>'04 ZŠ Žižkova'!Y38</f>
        <v>0</v>
      </c>
      <c r="W51" s="20">
        <f>'04 ZŠ Žižkova'!Z38</f>
        <v>0</v>
      </c>
      <c r="X51" s="20"/>
      <c r="Y51" s="20"/>
      <c r="Z51" s="20">
        <f>'04 ZŠ Žižkova'!AA38</f>
        <v>0</v>
      </c>
      <c r="AA51" s="20">
        <f t="shared" si="43"/>
        <v>0</v>
      </c>
      <c r="AB51" s="20"/>
      <c r="AC51" s="31">
        <f>'04 ZŠ Žižkova'!R38</f>
        <v>0</v>
      </c>
      <c r="AD51" s="31">
        <f>'04 ZŠ Žižkova'!W38</f>
        <v>0</v>
      </c>
      <c r="AE51" s="20">
        <f t="shared" si="44"/>
        <v>0</v>
      </c>
      <c r="AF51" s="20"/>
      <c r="AG51" s="20"/>
      <c r="AH51" s="20">
        <f t="shared" si="45"/>
        <v>0</v>
      </c>
    </row>
    <row r="52" spans="2:34" hidden="1" outlineLevel="2" x14ac:dyDescent="0.25">
      <c r="B52" s="28"/>
      <c r="F52" s="3" t="s">
        <v>22</v>
      </c>
      <c r="H52" s="31">
        <f t="shared" si="37"/>
        <v>0</v>
      </c>
      <c r="I52" s="31"/>
      <c r="J52" s="31"/>
      <c r="K52" s="31"/>
      <c r="L52" s="20">
        <f t="shared" si="38"/>
        <v>0</v>
      </c>
      <c r="M52" s="20"/>
      <c r="N52" s="20">
        <f t="shared" si="39"/>
        <v>15320</v>
      </c>
      <c r="O52" s="20"/>
      <c r="P52" s="31">
        <f>'04 ZŠ Žižkova'!N39</f>
        <v>15320</v>
      </c>
      <c r="Q52" s="31">
        <f>'04 ZŠ Žižkova'!P39</f>
        <v>49981.72</v>
      </c>
      <c r="R52" s="20">
        <f t="shared" si="40"/>
        <v>60477.881199999996</v>
      </c>
      <c r="S52" s="20"/>
      <c r="T52" s="20">
        <f t="shared" si="41"/>
        <v>0</v>
      </c>
      <c r="U52" s="20">
        <f t="shared" si="42"/>
        <v>0</v>
      </c>
      <c r="V52" s="20">
        <f>'04 ZŠ Žižkova'!Y39</f>
        <v>0</v>
      </c>
      <c r="W52" s="20">
        <f>'04 ZŠ Žižkova'!Z39</f>
        <v>0</v>
      </c>
      <c r="X52" s="20"/>
      <c r="Y52" s="20"/>
      <c r="Z52" s="20">
        <f>'04 ZŠ Žižkova'!AA39</f>
        <v>0</v>
      </c>
      <c r="AA52" s="20">
        <f t="shared" si="43"/>
        <v>0</v>
      </c>
      <c r="AB52" s="20"/>
      <c r="AC52" s="31">
        <f>'04 ZŠ Žižkova'!R39</f>
        <v>0</v>
      </c>
      <c r="AD52" s="31">
        <f>'04 ZŠ Žižkova'!W39</f>
        <v>0</v>
      </c>
      <c r="AE52" s="20">
        <f t="shared" si="44"/>
        <v>0</v>
      </c>
      <c r="AF52" s="20"/>
      <c r="AG52" s="20"/>
      <c r="AH52" s="20">
        <f t="shared" si="45"/>
        <v>0</v>
      </c>
    </row>
    <row r="53" spans="2:34" hidden="1" outlineLevel="2" x14ac:dyDescent="0.25">
      <c r="B53" s="28"/>
      <c r="F53" s="3" t="s">
        <v>23</v>
      </c>
      <c r="H53" s="31">
        <f t="shared" si="37"/>
        <v>0</v>
      </c>
      <c r="I53" s="31"/>
      <c r="J53" s="31"/>
      <c r="K53" s="31"/>
      <c r="L53" s="20">
        <f t="shared" si="38"/>
        <v>0</v>
      </c>
      <c r="M53" s="20"/>
      <c r="N53" s="20">
        <f t="shared" si="39"/>
        <v>0</v>
      </c>
      <c r="O53" s="20"/>
      <c r="P53" s="31">
        <f>'04 ZŠ Žižkova'!N40</f>
        <v>0</v>
      </c>
      <c r="Q53" s="31">
        <f>'04 ZŠ Žižkova'!P40</f>
        <v>0</v>
      </c>
      <c r="R53" s="20">
        <f t="shared" si="40"/>
        <v>0</v>
      </c>
      <c r="S53" s="20"/>
      <c r="T53" s="20">
        <f t="shared" si="41"/>
        <v>10809.97</v>
      </c>
      <c r="U53" s="20">
        <f t="shared" si="42"/>
        <v>1012.5392231245492</v>
      </c>
      <c r="V53" s="20">
        <f>'04 ZŠ Žižkova'!Y40</f>
        <v>10809.97</v>
      </c>
      <c r="W53" s="20">
        <f>'04 ZŠ Žižkova'!Z40</f>
        <v>1012.5392231245492</v>
      </c>
      <c r="X53" s="20"/>
      <c r="Y53" s="20"/>
      <c r="Z53" s="20">
        <f>'04 ZŠ Žižkova'!AA40</f>
        <v>22309.853333333333</v>
      </c>
      <c r="AA53" s="20">
        <f t="shared" si="43"/>
        <v>26994.922533333331</v>
      </c>
      <c r="AB53" s="20"/>
      <c r="AC53" s="31">
        <f>'04 ZŠ Žižkova'!R40</f>
        <v>0</v>
      </c>
      <c r="AD53" s="31">
        <f>'04 ZŠ Žižkova'!W40</f>
        <v>0</v>
      </c>
      <c r="AE53" s="20">
        <f t="shared" si="44"/>
        <v>0</v>
      </c>
      <c r="AF53" s="20"/>
      <c r="AG53" s="20"/>
      <c r="AH53" s="20">
        <f t="shared" si="45"/>
        <v>0</v>
      </c>
    </row>
    <row r="54" spans="2:34" hidden="1" outlineLevel="2" x14ac:dyDescent="0.25">
      <c r="B54" s="28"/>
      <c r="F54" s="3" t="s">
        <v>24</v>
      </c>
      <c r="H54" s="31">
        <f t="shared" si="37"/>
        <v>0</v>
      </c>
      <c r="I54" s="31"/>
      <c r="J54" s="31"/>
      <c r="K54" s="31"/>
      <c r="L54" s="20">
        <f t="shared" si="38"/>
        <v>0</v>
      </c>
      <c r="M54" s="20"/>
      <c r="N54" s="20">
        <f t="shared" si="39"/>
        <v>0</v>
      </c>
      <c r="O54" s="20"/>
      <c r="P54" s="31">
        <f>'04 ZŠ Žižkova'!N41</f>
        <v>0</v>
      </c>
      <c r="Q54" s="31">
        <f>'04 ZŠ Žižkova'!P41</f>
        <v>0</v>
      </c>
      <c r="R54" s="20">
        <f t="shared" si="40"/>
        <v>0</v>
      </c>
      <c r="S54" s="20"/>
      <c r="T54" s="20">
        <f t="shared" si="41"/>
        <v>0</v>
      </c>
      <c r="U54" s="20">
        <f t="shared" si="42"/>
        <v>0</v>
      </c>
      <c r="V54" s="20">
        <f>'04 ZŠ Žižkova'!Y41</f>
        <v>0</v>
      </c>
      <c r="W54" s="20">
        <f>'04 ZŠ Žižkova'!Z41</f>
        <v>0</v>
      </c>
      <c r="X54" s="20"/>
      <c r="Y54" s="20"/>
      <c r="Z54" s="20">
        <f>'04 ZŠ Žižkova'!AA41</f>
        <v>0</v>
      </c>
      <c r="AA54" s="20">
        <f t="shared" si="43"/>
        <v>0</v>
      </c>
      <c r="AB54" s="20"/>
      <c r="AC54" s="31">
        <f>'04 ZŠ Žižkova'!R41</f>
        <v>0</v>
      </c>
      <c r="AD54" s="31">
        <f>'04 ZŠ Žižkova'!W41</f>
        <v>0</v>
      </c>
      <c r="AE54" s="20">
        <f t="shared" si="44"/>
        <v>0</v>
      </c>
      <c r="AF54" s="20"/>
      <c r="AG54" s="20"/>
      <c r="AH54" s="20">
        <f t="shared" si="45"/>
        <v>0</v>
      </c>
    </row>
    <row r="55" spans="2:34" hidden="1" outlineLevel="2" x14ac:dyDescent="0.25">
      <c r="B55" s="28"/>
      <c r="F55" s="3" t="s">
        <v>25</v>
      </c>
      <c r="H55" s="31">
        <f t="shared" si="37"/>
        <v>0</v>
      </c>
      <c r="I55" s="31"/>
      <c r="J55" s="31"/>
      <c r="K55" s="31"/>
      <c r="L55" s="20">
        <f t="shared" si="38"/>
        <v>0</v>
      </c>
      <c r="M55" s="20"/>
      <c r="N55" s="20">
        <f t="shared" si="39"/>
        <v>0</v>
      </c>
      <c r="O55" s="20"/>
      <c r="P55" s="31">
        <f>'04 ZŠ Žižkova'!N42</f>
        <v>0</v>
      </c>
      <c r="Q55" s="31">
        <f>'04 ZŠ Žižkova'!P42</f>
        <v>0</v>
      </c>
      <c r="R55" s="20">
        <f t="shared" si="40"/>
        <v>0</v>
      </c>
      <c r="S55" s="20"/>
      <c r="T55" s="20">
        <f t="shared" si="41"/>
        <v>132582.5</v>
      </c>
      <c r="U55" s="20">
        <f t="shared" si="42"/>
        <v>12424.329035160055</v>
      </c>
      <c r="V55" s="20">
        <f>'04 ZŠ Žižkova'!Y42</f>
        <v>132582.5</v>
      </c>
      <c r="W55" s="20">
        <f>'04 ZŠ Žižkova'!Z42</f>
        <v>12424.329035160055</v>
      </c>
      <c r="X55" s="20"/>
      <c r="Y55" s="20"/>
      <c r="Z55" s="20">
        <f>'04 ZŠ Žižkova'!AA42</f>
        <v>152148.28</v>
      </c>
      <c r="AA55" s="20">
        <f t="shared" si="43"/>
        <v>184099.41879999998</v>
      </c>
      <c r="AB55" s="20"/>
      <c r="AC55" s="31">
        <f>'04 ZŠ Žižkova'!R42</f>
        <v>0</v>
      </c>
      <c r="AD55" s="31">
        <f>'04 ZŠ Žižkova'!W42</f>
        <v>0</v>
      </c>
      <c r="AE55" s="20">
        <f t="shared" si="44"/>
        <v>0</v>
      </c>
      <c r="AF55" s="20"/>
      <c r="AG55" s="20"/>
      <c r="AH55" s="20">
        <f t="shared" si="45"/>
        <v>0</v>
      </c>
    </row>
    <row r="56" spans="2:34" hidden="1" outlineLevel="2" x14ac:dyDescent="0.25">
      <c r="B56" s="28"/>
      <c r="F56" s="3" t="s">
        <v>26</v>
      </c>
      <c r="H56" s="31">
        <f t="shared" si="37"/>
        <v>0</v>
      </c>
      <c r="I56" s="31"/>
      <c r="J56" s="31"/>
      <c r="K56" s="31"/>
      <c r="L56" s="20">
        <f t="shared" si="38"/>
        <v>0</v>
      </c>
      <c r="M56" s="20"/>
      <c r="N56" s="20">
        <f t="shared" si="39"/>
        <v>0</v>
      </c>
      <c r="O56" s="20"/>
      <c r="P56" s="31">
        <f>'04 ZŠ Žižkova'!N43</f>
        <v>0</v>
      </c>
      <c r="Q56" s="31">
        <f>'04 ZŠ Žižkova'!P43</f>
        <v>0</v>
      </c>
      <c r="R56" s="20">
        <f t="shared" si="40"/>
        <v>0</v>
      </c>
      <c r="S56" s="20"/>
      <c r="T56" s="20">
        <f t="shared" si="41"/>
        <v>0</v>
      </c>
      <c r="U56" s="20">
        <f t="shared" si="42"/>
        <v>0</v>
      </c>
      <c r="V56" s="20">
        <f>'04 ZŠ Žižkova'!Y43</f>
        <v>0</v>
      </c>
      <c r="W56" s="20">
        <f>'04 ZŠ Žižkova'!Z43</f>
        <v>0</v>
      </c>
      <c r="X56" s="20"/>
      <c r="Y56" s="20"/>
      <c r="Z56" s="20">
        <f>'04 ZŠ Žižkova'!AA43</f>
        <v>0</v>
      </c>
      <c r="AA56" s="20">
        <f t="shared" si="43"/>
        <v>0</v>
      </c>
      <c r="AB56" s="20"/>
      <c r="AC56" s="31">
        <f>'04 ZŠ Žižkova'!R43</f>
        <v>0</v>
      </c>
      <c r="AD56" s="31">
        <f>'04 ZŠ Žižkova'!W43</f>
        <v>0</v>
      </c>
      <c r="AE56" s="20">
        <f t="shared" si="44"/>
        <v>0</v>
      </c>
      <c r="AF56" s="20"/>
      <c r="AG56" s="20"/>
      <c r="AH56" s="20">
        <f t="shared" si="45"/>
        <v>0</v>
      </c>
    </row>
    <row r="57" spans="2:34" hidden="1" outlineLevel="2" x14ac:dyDescent="0.25">
      <c r="B57" s="28"/>
      <c r="F57" s="3" t="s">
        <v>27</v>
      </c>
      <c r="H57" s="31">
        <f t="shared" si="37"/>
        <v>0</v>
      </c>
      <c r="I57" s="31"/>
      <c r="J57" s="31"/>
      <c r="K57" s="31"/>
      <c r="L57" s="20">
        <f t="shared" si="38"/>
        <v>0</v>
      </c>
      <c r="M57" s="20"/>
      <c r="N57" s="20">
        <f t="shared" si="39"/>
        <v>0</v>
      </c>
      <c r="O57" s="20"/>
      <c r="P57" s="31">
        <f>'04 ZŠ Žižkova'!N44</f>
        <v>0</v>
      </c>
      <c r="Q57" s="31">
        <f>'04 ZŠ Žižkova'!P44</f>
        <v>0</v>
      </c>
      <c r="R57" s="20">
        <f t="shared" si="40"/>
        <v>0</v>
      </c>
      <c r="S57" s="20"/>
      <c r="T57" s="20">
        <f t="shared" si="41"/>
        <v>0</v>
      </c>
      <c r="U57" s="20">
        <f t="shared" si="42"/>
        <v>0</v>
      </c>
      <c r="V57" s="20">
        <f>'04 ZŠ Žižkova'!Y44</f>
        <v>0</v>
      </c>
      <c r="W57" s="20">
        <f>'04 ZŠ Žižkova'!Z44</f>
        <v>0</v>
      </c>
      <c r="X57" s="20"/>
      <c r="Y57" s="20"/>
      <c r="Z57" s="20">
        <f>'04 ZŠ Žižkova'!AA44</f>
        <v>0</v>
      </c>
      <c r="AA57" s="20">
        <f t="shared" si="43"/>
        <v>0</v>
      </c>
      <c r="AB57" s="20"/>
      <c r="AC57" s="31">
        <f>'04 ZŠ Žižkova'!R44</f>
        <v>0</v>
      </c>
      <c r="AD57" s="31">
        <f>'04 ZŠ Žižkova'!W44</f>
        <v>0</v>
      </c>
      <c r="AE57" s="20">
        <f t="shared" si="44"/>
        <v>0</v>
      </c>
      <c r="AF57" s="20"/>
      <c r="AG57" s="20"/>
      <c r="AH57" s="20">
        <f t="shared" si="45"/>
        <v>0</v>
      </c>
    </row>
    <row r="58" spans="2:34" hidden="1" outlineLevel="2" x14ac:dyDescent="0.25">
      <c r="B58" s="28"/>
      <c r="F58" s="3" t="s">
        <v>28</v>
      </c>
      <c r="H58" s="31">
        <f t="shared" si="37"/>
        <v>0</v>
      </c>
      <c r="I58" s="31"/>
      <c r="J58" s="31"/>
      <c r="K58" s="31"/>
      <c r="L58" s="20">
        <f t="shared" si="38"/>
        <v>0</v>
      </c>
      <c r="M58" s="20"/>
      <c r="N58" s="20">
        <f t="shared" si="39"/>
        <v>0</v>
      </c>
      <c r="O58" s="20"/>
      <c r="P58" s="31">
        <f>'04 ZŠ Žižkova'!N45</f>
        <v>0</v>
      </c>
      <c r="Q58" s="31">
        <f>'04 ZŠ Žižkova'!P45</f>
        <v>0</v>
      </c>
      <c r="R58" s="20">
        <f t="shared" si="40"/>
        <v>0</v>
      </c>
      <c r="S58" s="20"/>
      <c r="T58" s="20">
        <f t="shared" si="41"/>
        <v>0</v>
      </c>
      <c r="U58" s="20">
        <f t="shared" si="42"/>
        <v>0</v>
      </c>
      <c r="V58" s="20">
        <f>'04 ZŠ Žižkova'!Y45</f>
        <v>0</v>
      </c>
      <c r="W58" s="20">
        <f>'04 ZŠ Žižkova'!Z45</f>
        <v>0</v>
      </c>
      <c r="X58" s="20"/>
      <c r="Y58" s="20"/>
      <c r="Z58" s="20">
        <f>'04 ZŠ Žižkova'!AA45</f>
        <v>0</v>
      </c>
      <c r="AA58" s="20">
        <f t="shared" si="43"/>
        <v>0</v>
      </c>
      <c r="AB58" s="20"/>
      <c r="AC58" s="31">
        <f>'04 ZŠ Žižkova'!R45</f>
        <v>0</v>
      </c>
      <c r="AD58" s="31">
        <f>'04 ZŠ Žižkova'!W45</f>
        <v>0</v>
      </c>
      <c r="AE58" s="20">
        <f t="shared" si="44"/>
        <v>0</v>
      </c>
      <c r="AF58" s="20"/>
      <c r="AG58" s="20"/>
      <c r="AH58" s="20">
        <f t="shared" si="45"/>
        <v>0</v>
      </c>
    </row>
    <row r="59" spans="2:34" hidden="1" outlineLevel="2" x14ac:dyDescent="0.25">
      <c r="B59" s="28"/>
      <c r="F59" s="3" t="s">
        <v>29</v>
      </c>
      <c r="H59" s="31">
        <f t="shared" si="37"/>
        <v>0</v>
      </c>
      <c r="I59" s="31"/>
      <c r="J59" s="31"/>
      <c r="K59" s="31"/>
      <c r="L59" s="20">
        <f t="shared" si="38"/>
        <v>0</v>
      </c>
      <c r="M59" s="20"/>
      <c r="N59" s="20">
        <f t="shared" si="39"/>
        <v>0</v>
      </c>
      <c r="O59" s="20"/>
      <c r="P59" s="31">
        <f>'04 ZŠ Žižkova'!N46</f>
        <v>0</v>
      </c>
      <c r="Q59" s="31">
        <f>'04 ZŠ Žižkova'!P46</f>
        <v>0</v>
      </c>
      <c r="R59" s="20">
        <f t="shared" si="40"/>
        <v>0</v>
      </c>
      <c r="S59" s="20"/>
      <c r="T59" s="20">
        <f t="shared" si="41"/>
        <v>0</v>
      </c>
      <c r="U59" s="20">
        <f t="shared" si="42"/>
        <v>0</v>
      </c>
      <c r="V59" s="20">
        <f>'04 ZŠ Žižkova'!Y46</f>
        <v>0</v>
      </c>
      <c r="W59" s="20">
        <f>'04 ZŠ Žižkova'!Z46</f>
        <v>0</v>
      </c>
      <c r="X59" s="20"/>
      <c r="Y59" s="20"/>
      <c r="Z59" s="20">
        <f>'04 ZŠ Žižkova'!AA46</f>
        <v>0</v>
      </c>
      <c r="AA59" s="20">
        <f t="shared" si="43"/>
        <v>0</v>
      </c>
      <c r="AB59" s="20"/>
      <c r="AC59" s="31">
        <f>'04 ZŠ Žižkova'!R46</f>
        <v>0</v>
      </c>
      <c r="AD59" s="31">
        <f>'04 ZŠ Žižkova'!W46</f>
        <v>0</v>
      </c>
      <c r="AE59" s="20">
        <f t="shared" si="44"/>
        <v>0</v>
      </c>
      <c r="AF59" s="20"/>
      <c r="AG59" s="20"/>
      <c r="AH59" s="20">
        <f t="shared" si="45"/>
        <v>0</v>
      </c>
    </row>
    <row r="60" spans="2:34" hidden="1" outlineLevel="2" x14ac:dyDescent="0.25">
      <c r="B60" s="28"/>
      <c r="F60" s="18" t="s">
        <v>30</v>
      </c>
      <c r="G60" s="34"/>
      <c r="H60" s="21">
        <f t="shared" si="37"/>
        <v>0</v>
      </c>
      <c r="I60" s="21"/>
      <c r="J60" s="21"/>
      <c r="K60" s="21"/>
      <c r="L60" s="21">
        <f t="shared" si="38"/>
        <v>0</v>
      </c>
      <c r="M60" s="20"/>
      <c r="N60" s="21">
        <f t="shared" si="39"/>
        <v>0</v>
      </c>
      <c r="O60" s="21"/>
      <c r="P60" s="21">
        <f>'04 ZŠ Žižkova'!N47</f>
        <v>0</v>
      </c>
      <c r="Q60" s="21">
        <f>'04 ZŠ Žižkova'!P47</f>
        <v>0</v>
      </c>
      <c r="R60" s="21">
        <f t="shared" si="40"/>
        <v>0</v>
      </c>
      <c r="S60" s="20"/>
      <c r="T60" s="21">
        <f t="shared" si="41"/>
        <v>0</v>
      </c>
      <c r="U60" s="21">
        <f t="shared" si="42"/>
        <v>0</v>
      </c>
      <c r="V60" s="21">
        <f>'04 ZŠ Žižkova'!Y47</f>
        <v>0</v>
      </c>
      <c r="W60" s="21">
        <f>'04 ZŠ Žižkova'!Z47</f>
        <v>0</v>
      </c>
      <c r="X60" s="21"/>
      <c r="Y60" s="21"/>
      <c r="Z60" s="21">
        <f>'04 ZŠ Žižkova'!AA47</f>
        <v>0</v>
      </c>
      <c r="AA60" s="21">
        <f t="shared" si="43"/>
        <v>0</v>
      </c>
      <c r="AB60" s="20"/>
      <c r="AC60" s="21">
        <f>'04 ZŠ Žižkova'!R47</f>
        <v>0</v>
      </c>
      <c r="AD60" s="21">
        <f>'04 ZŠ Žižkova'!W47</f>
        <v>0</v>
      </c>
      <c r="AE60" s="21">
        <f t="shared" si="44"/>
        <v>0</v>
      </c>
      <c r="AF60" s="20"/>
      <c r="AG60" s="21"/>
      <c r="AH60" s="21">
        <f t="shared" si="45"/>
        <v>0</v>
      </c>
    </row>
    <row r="61" spans="2:34" s="19" customFormat="1" ht="15" collapsed="1" x14ac:dyDescent="0.25">
      <c r="B61" s="26">
        <v>4</v>
      </c>
      <c r="C61" s="22" t="s">
        <v>207</v>
      </c>
      <c r="D61" s="22"/>
      <c r="E61" s="22"/>
      <c r="F61" s="22" t="s">
        <v>31</v>
      </c>
      <c r="G61" s="22"/>
      <c r="H61" s="23">
        <f>SUM(H49:H60)</f>
        <v>0</v>
      </c>
      <c r="I61" s="23"/>
      <c r="J61" s="23"/>
      <c r="K61" s="23">
        <f>SUM(K49:K60)</f>
        <v>0</v>
      </c>
      <c r="L61" s="23">
        <f>SUM(L49:L60)</f>
        <v>0</v>
      </c>
      <c r="M61" s="23"/>
      <c r="N61" s="23">
        <f>SUM(N49:N60)</f>
        <v>22574</v>
      </c>
      <c r="O61" s="23"/>
      <c r="P61" s="23"/>
      <c r="Q61" s="23">
        <f>SUM(Q49:Q60)</f>
        <v>72234.28</v>
      </c>
      <c r="R61" s="23">
        <f>SUM(R49:R60)</f>
        <v>87403.478799999997</v>
      </c>
      <c r="S61" s="23"/>
      <c r="T61" s="23">
        <f>SUM(T49:T60)</f>
        <v>316137.04000000004</v>
      </c>
      <c r="U61" s="23">
        <f>SUM(U49:U60)</f>
        <v>29617.362071568481</v>
      </c>
      <c r="V61" s="23"/>
      <c r="W61" s="23"/>
      <c r="X61" s="23"/>
      <c r="Y61" s="23"/>
      <c r="Z61" s="23">
        <f>SUM(Z49:Z60)</f>
        <v>370858.85</v>
      </c>
      <c r="AA61" s="23">
        <f>SUM(AA49:AA60)</f>
        <v>448739.20849999995</v>
      </c>
      <c r="AB61" s="23"/>
      <c r="AC61" s="23">
        <f>SUM(AC49:AC60)</f>
        <v>269</v>
      </c>
      <c r="AD61" s="23">
        <f t="shared" ref="AD61" si="46">SUM(AD49:AD60)</f>
        <v>22812.38</v>
      </c>
      <c r="AE61" s="23">
        <f t="shared" ref="AE61" si="47">SUM(AE49:AE60)</f>
        <v>26234.236999999997</v>
      </c>
      <c r="AF61" s="23"/>
      <c r="AG61" s="23">
        <f t="shared" ref="AG61" si="48">SUM(AG49:AG60)</f>
        <v>0</v>
      </c>
      <c r="AH61" s="23">
        <f t="shared" ref="AH61" si="49">SUM(AH49:AH60)</f>
        <v>0</v>
      </c>
    </row>
    <row r="62" spans="2:34" s="19" customFormat="1" ht="5.25" hidden="1" customHeight="1" outlineLevel="1" x14ac:dyDescent="0.25">
      <c r="B62" s="27"/>
      <c r="C62" s="24"/>
      <c r="D62" s="24"/>
      <c r="E62" s="24"/>
      <c r="F62" s="24"/>
      <c r="G62" s="24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</row>
    <row r="63" spans="2:34" hidden="1" outlineLevel="2" x14ac:dyDescent="0.25">
      <c r="B63" s="28"/>
      <c r="F63" s="3" t="s">
        <v>19</v>
      </c>
      <c r="H63" s="20">
        <f>SUM(I63:J63)</f>
        <v>0</v>
      </c>
      <c r="I63" s="31"/>
      <c r="J63" s="20"/>
      <c r="K63" s="31"/>
      <c r="L63" s="20">
        <f>K63*(1+L$5)</f>
        <v>0</v>
      </c>
      <c r="M63" s="20"/>
      <c r="N63" s="20">
        <f>SUM(O63:P63)</f>
        <v>6298</v>
      </c>
      <c r="O63" s="20"/>
      <c r="P63" s="31">
        <f>'05 MŠ Svojsíkova 352'!N36</f>
        <v>6298</v>
      </c>
      <c r="Q63" s="31">
        <f>'05 MŠ Svojsíkova 352'!P36</f>
        <v>19260.14</v>
      </c>
      <c r="R63" s="20">
        <f>Q63*(1+R$5)</f>
        <v>23304.769399999997</v>
      </c>
      <c r="S63" s="20"/>
      <c r="T63" s="20">
        <f>SUM(V63,X63)</f>
        <v>32762.99</v>
      </c>
      <c r="U63" s="20">
        <f>SUM(W63,Y63)</f>
        <v>3068.8163280598724</v>
      </c>
      <c r="V63" s="20">
        <f>'05 MŠ Svojsíkova 352'!V36</f>
        <v>32762.99</v>
      </c>
      <c r="W63" s="20">
        <f>'05 MŠ Svojsíkova 352'!W36</f>
        <v>3068.8163280598724</v>
      </c>
      <c r="X63" s="20"/>
      <c r="Y63" s="20"/>
      <c r="Z63" s="20">
        <f>'05 MŠ Svojsíkova 352'!Y36</f>
        <v>27580.284530866891</v>
      </c>
      <c r="AA63" s="20">
        <f>Z63*(1+AA$5)</f>
        <v>33372.144282348934</v>
      </c>
      <c r="AB63" s="20"/>
      <c r="AC63" s="31">
        <f>'05 MŠ Svojsíkova 352'!R36</f>
        <v>654</v>
      </c>
      <c r="AD63" s="31">
        <f>'05 MŠ Svojsíkova 352'!T36</f>
        <v>55733.880000000005</v>
      </c>
      <c r="AE63" s="20">
        <f>AD63*(1+AE$5)</f>
        <v>64093.962</v>
      </c>
      <c r="AF63" s="20"/>
      <c r="AG63" s="20"/>
      <c r="AH63" s="20">
        <f>AG63*(1+AH$5)</f>
        <v>0</v>
      </c>
    </row>
    <row r="64" spans="2:34" hidden="1" outlineLevel="2" x14ac:dyDescent="0.25">
      <c r="B64" s="28"/>
      <c r="F64" s="3" t="s">
        <v>20</v>
      </c>
      <c r="H64" s="20">
        <f t="shared" ref="H64:H74" si="50">SUM(I64:J64)</f>
        <v>0</v>
      </c>
      <c r="I64" s="31"/>
      <c r="J64" s="20"/>
      <c r="K64" s="31"/>
      <c r="L64" s="20">
        <f t="shared" ref="L64:L74" si="51">K64*(1+L$5)</f>
        <v>0</v>
      </c>
      <c r="M64" s="20"/>
      <c r="N64" s="20">
        <f t="shared" ref="N64:N74" si="52">SUM(O64:P64)</f>
        <v>0</v>
      </c>
      <c r="O64" s="20"/>
      <c r="P64" s="31">
        <f>'05 MŠ Svojsíkova 352'!N37</f>
        <v>0</v>
      </c>
      <c r="Q64" s="31">
        <f>'05 MŠ Svojsíkova 352'!P37</f>
        <v>0</v>
      </c>
      <c r="R64" s="20">
        <f t="shared" ref="R64:R74" si="53">Q64*(1+R$5)</f>
        <v>0</v>
      </c>
      <c r="S64" s="20"/>
      <c r="T64" s="20">
        <f t="shared" ref="T64:T74" si="54">SUM(V64,X64)</f>
        <v>22114.23</v>
      </c>
      <c r="U64" s="20">
        <f t="shared" ref="U64:U74" si="55">SUM(W64,Y64)</f>
        <v>2071.3771882990982</v>
      </c>
      <c r="V64" s="20">
        <f>'05 MŠ Svojsíkova 352'!V37</f>
        <v>22114.23</v>
      </c>
      <c r="W64" s="20">
        <f>'05 MŠ Svojsíkova 352'!W37</f>
        <v>2071.3771882990982</v>
      </c>
      <c r="X64" s="20"/>
      <c r="Y64" s="20"/>
      <c r="Z64" s="20">
        <f>'05 MŠ Svojsíkova 352'!Y37</f>
        <v>18616.02849987234</v>
      </c>
      <c r="AA64" s="20">
        <f t="shared" ref="AA64:AA74" si="56">Z64*(1+AA$5)</f>
        <v>22525.394484845532</v>
      </c>
      <c r="AB64" s="20"/>
      <c r="AC64" s="31">
        <f>'05 MŠ Svojsíkova 352'!R37</f>
        <v>0</v>
      </c>
      <c r="AD64" s="31">
        <f>'05 MŠ Svojsíkova 352'!T37</f>
        <v>0</v>
      </c>
      <c r="AE64" s="20">
        <f t="shared" ref="AE64:AE74" si="57">AD64*(1+AE$5)</f>
        <v>0</v>
      </c>
      <c r="AF64" s="20"/>
      <c r="AG64" s="20"/>
      <c r="AH64" s="20">
        <f t="shared" ref="AH64:AH74" si="58">AG64*(1+AH$5)</f>
        <v>0</v>
      </c>
    </row>
    <row r="65" spans="2:34" hidden="1" outlineLevel="2" x14ac:dyDescent="0.25">
      <c r="B65" s="28"/>
      <c r="F65" s="3" t="s">
        <v>21</v>
      </c>
      <c r="H65" s="20">
        <f t="shared" si="50"/>
        <v>0</v>
      </c>
      <c r="I65" s="31"/>
      <c r="J65" s="20"/>
      <c r="K65" s="31"/>
      <c r="L65" s="20">
        <f t="shared" si="51"/>
        <v>0</v>
      </c>
      <c r="M65" s="20"/>
      <c r="N65" s="20">
        <f t="shared" si="52"/>
        <v>0</v>
      </c>
      <c r="O65" s="20"/>
      <c r="P65" s="31">
        <f>'05 MŠ Svojsíkova 352'!N38</f>
        <v>0</v>
      </c>
      <c r="Q65" s="31">
        <f>'05 MŠ Svojsíkova 352'!P38</f>
        <v>0</v>
      </c>
      <c r="R65" s="20">
        <f t="shared" si="53"/>
        <v>0</v>
      </c>
      <c r="S65" s="20"/>
      <c r="T65" s="20">
        <f t="shared" si="54"/>
        <v>23919.47</v>
      </c>
      <c r="U65" s="20">
        <f t="shared" si="55"/>
        <v>2240.4688978184918</v>
      </c>
      <c r="V65" s="20">
        <f>'05 MŠ Svojsíkova 352'!V38</f>
        <v>23919.47</v>
      </c>
      <c r="W65" s="20">
        <f>'05 MŠ Svojsíkova 352'!W38</f>
        <v>2240.4688978184918</v>
      </c>
      <c r="X65" s="20"/>
      <c r="Y65" s="20"/>
      <c r="Z65" s="20">
        <f>'05 MŠ Svojsíkova 352'!Y38</f>
        <v>20135.701547005774</v>
      </c>
      <c r="AA65" s="20">
        <f t="shared" si="56"/>
        <v>24364.198871876986</v>
      </c>
      <c r="AB65" s="20"/>
      <c r="AC65" s="31">
        <f>'05 MŠ Svojsíkova 352'!R38</f>
        <v>0</v>
      </c>
      <c r="AD65" s="31">
        <f>'05 MŠ Svojsíkova 352'!T38</f>
        <v>0</v>
      </c>
      <c r="AE65" s="20">
        <f t="shared" si="57"/>
        <v>0</v>
      </c>
      <c r="AF65" s="20"/>
      <c r="AG65" s="20"/>
      <c r="AH65" s="20">
        <f t="shared" si="58"/>
        <v>0</v>
      </c>
    </row>
    <row r="66" spans="2:34" hidden="1" outlineLevel="2" x14ac:dyDescent="0.25">
      <c r="B66" s="28"/>
      <c r="F66" s="3" t="s">
        <v>22</v>
      </c>
      <c r="H66" s="20">
        <f t="shared" si="50"/>
        <v>0</v>
      </c>
      <c r="I66" s="31"/>
      <c r="J66" s="20"/>
      <c r="K66" s="31"/>
      <c r="L66" s="20">
        <f t="shared" si="51"/>
        <v>0</v>
      </c>
      <c r="M66" s="20"/>
      <c r="N66" s="20">
        <f t="shared" si="52"/>
        <v>0</v>
      </c>
      <c r="O66" s="20"/>
      <c r="P66" s="31">
        <f>'05 MŠ Svojsíkova 352'!N39</f>
        <v>0</v>
      </c>
      <c r="Q66" s="31">
        <f>'05 MŠ Svojsíkova 352'!P39</f>
        <v>0</v>
      </c>
      <c r="R66" s="20">
        <f t="shared" si="53"/>
        <v>0</v>
      </c>
      <c r="S66" s="20"/>
      <c r="T66" s="20">
        <f t="shared" si="54"/>
        <v>13571.56</v>
      </c>
      <c r="U66" s="20">
        <f t="shared" si="55"/>
        <v>1271.2095240771441</v>
      </c>
      <c r="V66" s="20">
        <f>'05 MŠ Svojsíkova 352'!V39</f>
        <v>13571.56</v>
      </c>
      <c r="W66" s="20">
        <f>'05 MŠ Svojsíkova 352'!W39</f>
        <v>1271.2095240771441</v>
      </c>
      <c r="X66" s="31"/>
      <c r="Y66" s="31"/>
      <c r="Z66" s="20">
        <f>'05 MŠ Svojsíkova 352'!Y39</f>
        <v>11424.704714915575</v>
      </c>
      <c r="AA66" s="20">
        <f t="shared" si="56"/>
        <v>13823.892705047845</v>
      </c>
      <c r="AB66" s="20"/>
      <c r="AC66" s="31">
        <f>'05 MŠ Svojsíkova 352'!R39</f>
        <v>0</v>
      </c>
      <c r="AD66" s="31">
        <f>'05 MŠ Svojsíkova 352'!T39</f>
        <v>0</v>
      </c>
      <c r="AE66" s="20">
        <f t="shared" si="57"/>
        <v>0</v>
      </c>
      <c r="AF66" s="20"/>
      <c r="AG66" s="20"/>
      <c r="AH66" s="20">
        <f t="shared" si="58"/>
        <v>0</v>
      </c>
    </row>
    <row r="67" spans="2:34" hidden="1" outlineLevel="2" x14ac:dyDescent="0.25">
      <c r="B67" s="28"/>
      <c r="F67" s="3" t="s">
        <v>23</v>
      </c>
      <c r="H67" s="20">
        <f t="shared" si="50"/>
        <v>0</v>
      </c>
      <c r="I67" s="31"/>
      <c r="J67" s="20"/>
      <c r="K67" s="31"/>
      <c r="L67" s="20">
        <f t="shared" si="51"/>
        <v>0</v>
      </c>
      <c r="M67" s="20"/>
      <c r="N67" s="20">
        <f t="shared" si="52"/>
        <v>11204</v>
      </c>
      <c r="O67" s="20"/>
      <c r="P67" s="31">
        <f>'05 MŠ Svojsíkova 352'!N40</f>
        <v>11204</v>
      </c>
      <c r="Q67" s="31">
        <f>'05 MŠ Svojsíkova 352'!P40</f>
        <v>37073.47</v>
      </c>
      <c r="R67" s="20">
        <f t="shared" si="53"/>
        <v>44858.898699999998</v>
      </c>
      <c r="S67" s="20"/>
      <c r="T67" s="20">
        <f t="shared" si="54"/>
        <v>5684.37</v>
      </c>
      <c r="U67" s="20">
        <f t="shared" si="55"/>
        <v>532.43881192570325</v>
      </c>
      <c r="V67" s="20">
        <f>'05 MŠ Svojsíkova 352'!V40</f>
        <v>5684.37</v>
      </c>
      <c r="W67" s="20">
        <f>'05 MŠ Svojsíkova 352'!W40</f>
        <v>532.43881192570325</v>
      </c>
      <c r="X67" s="31"/>
      <c r="Y67" s="31"/>
      <c r="Z67" s="20">
        <f>'05 MŠ Svojsíkova 352'!Y40</f>
        <v>4785.1719876215147</v>
      </c>
      <c r="AA67" s="20">
        <f t="shared" si="56"/>
        <v>5790.0581050220326</v>
      </c>
      <c r="AB67" s="20"/>
      <c r="AC67" s="31">
        <f>'05 MŠ Svojsíkova 352'!R40</f>
        <v>0</v>
      </c>
      <c r="AD67" s="31">
        <f>'05 MŠ Svojsíkova 352'!T40</f>
        <v>0</v>
      </c>
      <c r="AE67" s="20">
        <f t="shared" si="57"/>
        <v>0</v>
      </c>
      <c r="AF67" s="20"/>
      <c r="AG67" s="20"/>
      <c r="AH67" s="20">
        <f t="shared" si="58"/>
        <v>0</v>
      </c>
    </row>
    <row r="68" spans="2:34" hidden="1" outlineLevel="2" x14ac:dyDescent="0.25">
      <c r="B68" s="28"/>
      <c r="F68" s="3" t="s">
        <v>24</v>
      </c>
      <c r="H68" s="20">
        <f t="shared" si="50"/>
        <v>0</v>
      </c>
      <c r="I68" s="31"/>
      <c r="J68" s="20"/>
      <c r="K68" s="31"/>
      <c r="L68" s="20">
        <f t="shared" si="51"/>
        <v>0</v>
      </c>
      <c r="M68" s="20"/>
      <c r="N68" s="20">
        <f t="shared" si="52"/>
        <v>0</v>
      </c>
      <c r="O68" s="20"/>
      <c r="P68" s="31">
        <f>'05 MŠ Svojsíkova 352'!N41</f>
        <v>0</v>
      </c>
      <c r="Q68" s="31">
        <f>'05 MŠ Svojsíkova 352'!P41</f>
        <v>0</v>
      </c>
      <c r="R68" s="20">
        <f t="shared" si="53"/>
        <v>0</v>
      </c>
      <c r="S68" s="20"/>
      <c r="T68" s="20">
        <f t="shared" si="54"/>
        <v>1203.5</v>
      </c>
      <c r="U68" s="20">
        <f t="shared" si="55"/>
        <v>112.72843079401655</v>
      </c>
      <c r="V68" s="20">
        <f>'05 MŠ Svojsíkova 352'!V41</f>
        <v>1203.5</v>
      </c>
      <c r="W68" s="20">
        <f>'05 MŠ Svojsíkova 352'!W41</f>
        <v>112.72843079401655</v>
      </c>
      <c r="X68" s="31"/>
      <c r="Y68" s="31"/>
      <c r="Z68" s="20">
        <f>'05 MŠ Svojsíkova 352'!Y41</f>
        <v>1013.1209768369218</v>
      </c>
      <c r="AA68" s="20">
        <f t="shared" si="56"/>
        <v>1225.8763819726753</v>
      </c>
      <c r="AB68" s="20"/>
      <c r="AC68" s="31">
        <f>'05 MŠ Svojsíkova 352'!R41</f>
        <v>0</v>
      </c>
      <c r="AD68" s="31">
        <f>'05 MŠ Svojsíkova 352'!T41</f>
        <v>0</v>
      </c>
      <c r="AE68" s="20">
        <f t="shared" si="57"/>
        <v>0</v>
      </c>
      <c r="AF68" s="20"/>
      <c r="AG68" s="20"/>
      <c r="AH68" s="20">
        <f t="shared" si="58"/>
        <v>0</v>
      </c>
    </row>
    <row r="69" spans="2:34" hidden="1" outlineLevel="2" x14ac:dyDescent="0.25">
      <c r="B69" s="28"/>
      <c r="F69" s="3" t="s">
        <v>25</v>
      </c>
      <c r="H69" s="20">
        <f t="shared" si="50"/>
        <v>0</v>
      </c>
      <c r="I69" s="31"/>
      <c r="J69" s="20"/>
      <c r="K69" s="31"/>
      <c r="L69" s="20">
        <f t="shared" si="51"/>
        <v>0</v>
      </c>
      <c r="M69" s="20"/>
      <c r="N69" s="20">
        <f t="shared" si="52"/>
        <v>0</v>
      </c>
      <c r="O69" s="20"/>
      <c r="P69" s="31">
        <f>'05 MŠ Svojsíkova 352'!N42</f>
        <v>0</v>
      </c>
      <c r="Q69" s="31">
        <f>'05 MŠ Svojsíkova 352'!P42</f>
        <v>0</v>
      </c>
      <c r="R69" s="20">
        <f t="shared" si="53"/>
        <v>0</v>
      </c>
      <c r="S69" s="20"/>
      <c r="T69" s="20">
        <f t="shared" si="54"/>
        <v>944.5</v>
      </c>
      <c r="U69" s="20">
        <f t="shared" si="55"/>
        <v>88.578348287420241</v>
      </c>
      <c r="V69" s="20">
        <f>'05 MŠ Svojsíkova 352'!V27</f>
        <v>944.5</v>
      </c>
      <c r="W69" s="20">
        <f>'05 MŠ Svojsíkova 352'!W27</f>
        <v>88.578348287420241</v>
      </c>
      <c r="X69" s="31"/>
      <c r="Y69" s="31"/>
      <c r="Z69" s="20">
        <f>'05 MŠ Svojsíkova 352'!Y27</f>
        <v>889.60657791501524</v>
      </c>
      <c r="AA69" s="20">
        <f t="shared" si="56"/>
        <v>1076.4239592771685</v>
      </c>
      <c r="AB69" s="20"/>
      <c r="AC69" s="31">
        <f>'05 MŠ Svojsíkova 352'!R42</f>
        <v>0</v>
      </c>
      <c r="AD69" s="31">
        <f>'05 MŠ Svojsíkova 352'!T42</f>
        <v>0</v>
      </c>
      <c r="AE69" s="20">
        <f t="shared" si="57"/>
        <v>0</v>
      </c>
      <c r="AF69" s="20"/>
      <c r="AG69" s="20"/>
      <c r="AH69" s="20">
        <f t="shared" si="58"/>
        <v>0</v>
      </c>
    </row>
    <row r="70" spans="2:34" hidden="1" outlineLevel="2" x14ac:dyDescent="0.25">
      <c r="B70" s="28"/>
      <c r="F70" s="3" t="s">
        <v>26</v>
      </c>
      <c r="H70" s="20">
        <f t="shared" si="50"/>
        <v>0</v>
      </c>
      <c r="I70" s="31"/>
      <c r="J70" s="20"/>
      <c r="K70" s="31"/>
      <c r="L70" s="20">
        <f t="shared" si="51"/>
        <v>0</v>
      </c>
      <c r="M70" s="20"/>
      <c r="N70" s="20">
        <f t="shared" si="52"/>
        <v>0</v>
      </c>
      <c r="O70" s="20"/>
      <c r="P70" s="31">
        <f>'05 MŠ Svojsíkova 352'!N43</f>
        <v>0</v>
      </c>
      <c r="Q70" s="31">
        <f>'05 MŠ Svojsíkova 352'!P43</f>
        <v>0</v>
      </c>
      <c r="R70" s="20">
        <f t="shared" si="53"/>
        <v>0</v>
      </c>
      <c r="S70" s="20"/>
      <c r="T70" s="20">
        <f t="shared" si="54"/>
        <v>977.84</v>
      </c>
      <c r="U70" s="20">
        <f t="shared" si="55"/>
        <v>91.591498768276807</v>
      </c>
      <c r="V70" s="20">
        <f>'05 MŠ Svojsíkova 352'!V28</f>
        <v>977.84</v>
      </c>
      <c r="W70" s="20">
        <f>'05 MŠ Svojsíkova 352'!W28</f>
        <v>91.591498768276807</v>
      </c>
      <c r="X70" s="31"/>
      <c r="Y70" s="31"/>
      <c r="Z70" s="20">
        <f>'05 MŠ Svojsíkova 352'!Y28</f>
        <v>921.00888951658931</v>
      </c>
      <c r="AA70" s="20">
        <f t="shared" si="56"/>
        <v>1114.420756315073</v>
      </c>
      <c r="AB70" s="20"/>
      <c r="AC70" s="31">
        <f>'05 MŠ Svojsíkova 352'!R43</f>
        <v>0</v>
      </c>
      <c r="AD70" s="31">
        <f>'05 MŠ Svojsíkova 352'!T43</f>
        <v>0</v>
      </c>
      <c r="AE70" s="20">
        <f t="shared" si="57"/>
        <v>0</v>
      </c>
      <c r="AF70" s="20"/>
      <c r="AG70" s="20"/>
      <c r="AH70" s="20">
        <f t="shared" si="58"/>
        <v>0</v>
      </c>
    </row>
    <row r="71" spans="2:34" hidden="1" outlineLevel="2" x14ac:dyDescent="0.25">
      <c r="B71" s="28"/>
      <c r="F71" s="3" t="s">
        <v>27</v>
      </c>
      <c r="H71" s="20">
        <f t="shared" si="50"/>
        <v>0</v>
      </c>
      <c r="I71" s="31"/>
      <c r="J71" s="20"/>
      <c r="K71" s="31"/>
      <c r="L71" s="20">
        <f t="shared" si="51"/>
        <v>0</v>
      </c>
      <c r="M71" s="20"/>
      <c r="N71" s="20">
        <f t="shared" si="52"/>
        <v>0</v>
      </c>
      <c r="O71" s="20"/>
      <c r="P71" s="31">
        <f>'05 MŠ Svojsíkova 352'!N44</f>
        <v>0</v>
      </c>
      <c r="Q71" s="31">
        <f>'05 MŠ Svojsíkova 352'!P44</f>
        <v>0</v>
      </c>
      <c r="R71" s="20">
        <f t="shared" si="53"/>
        <v>0</v>
      </c>
      <c r="S71" s="20"/>
      <c r="T71" s="20">
        <f t="shared" si="54"/>
        <v>3717.94</v>
      </c>
      <c r="U71" s="20">
        <f t="shared" si="55"/>
        <v>348.2488923857963</v>
      </c>
      <c r="V71" s="20">
        <f>'05 MŠ Svojsíkova 352'!V29</f>
        <v>3717.94</v>
      </c>
      <c r="W71" s="20">
        <f>'05 MŠ Svojsíkova 352'!W29</f>
        <v>348.2488923857963</v>
      </c>
      <c r="X71" s="31"/>
      <c r="Y71" s="31"/>
      <c r="Z71" s="31">
        <f>'05 MŠ Svojsíkova 352'!Y29</f>
        <v>3501.8569404905793</v>
      </c>
      <c r="AA71" s="20">
        <f t="shared" si="56"/>
        <v>4237.2468979936011</v>
      </c>
      <c r="AB71" s="20"/>
      <c r="AC71" s="31">
        <f>'05 MŠ Svojsíkova 352'!R44</f>
        <v>0</v>
      </c>
      <c r="AD71" s="31">
        <f>'05 MŠ Svojsíkova 352'!T44</f>
        <v>0</v>
      </c>
      <c r="AE71" s="20">
        <f t="shared" si="57"/>
        <v>0</v>
      </c>
      <c r="AF71" s="20"/>
      <c r="AG71" s="20"/>
      <c r="AH71" s="20">
        <f t="shared" si="58"/>
        <v>0</v>
      </c>
    </row>
    <row r="72" spans="2:34" hidden="1" outlineLevel="2" x14ac:dyDescent="0.25">
      <c r="B72" s="28"/>
      <c r="F72" s="3" t="s">
        <v>28</v>
      </c>
      <c r="H72" s="20">
        <f t="shared" si="50"/>
        <v>0</v>
      </c>
      <c r="I72" s="31"/>
      <c r="J72" s="20"/>
      <c r="K72" s="31"/>
      <c r="L72" s="20">
        <f t="shared" si="51"/>
        <v>0</v>
      </c>
      <c r="M72" s="20"/>
      <c r="N72" s="20">
        <f t="shared" si="52"/>
        <v>0</v>
      </c>
      <c r="O72" s="20"/>
      <c r="P72" s="31">
        <f>'05 MŠ Svojsíkova 352'!N45</f>
        <v>0</v>
      </c>
      <c r="Q72" s="31">
        <f>'05 MŠ Svojsíkova 352'!P45</f>
        <v>0</v>
      </c>
      <c r="R72" s="20">
        <f t="shared" si="53"/>
        <v>0</v>
      </c>
      <c r="S72" s="20"/>
      <c r="T72" s="20">
        <f t="shared" si="54"/>
        <v>13797.22</v>
      </c>
      <c r="U72" s="20">
        <f t="shared" si="55"/>
        <v>1292.3464561028838</v>
      </c>
      <c r="V72" s="20">
        <f>'05 MŠ Svojsíkova 352'!V30</f>
        <v>13797.22</v>
      </c>
      <c r="W72" s="20">
        <f>'05 MŠ Svojsíkova 352'!W30</f>
        <v>1292.3464561028838</v>
      </c>
      <c r="X72" s="31"/>
      <c r="Y72" s="31"/>
      <c r="Z72" s="31">
        <f>'05 MŠ Svojsíkova 352'!Y30</f>
        <v>12995.338982467558</v>
      </c>
      <c r="AA72" s="20">
        <f t="shared" si="56"/>
        <v>15724.360168785744</v>
      </c>
      <c r="AB72" s="20"/>
      <c r="AC72" s="31">
        <f>'05 MŠ Svojsíkova 352'!R45</f>
        <v>0</v>
      </c>
      <c r="AD72" s="31">
        <f>'05 MŠ Svojsíkova 352'!T45</f>
        <v>0</v>
      </c>
      <c r="AE72" s="20">
        <f t="shared" si="57"/>
        <v>0</v>
      </c>
      <c r="AF72" s="20"/>
      <c r="AG72" s="20"/>
      <c r="AH72" s="20">
        <f t="shared" si="58"/>
        <v>0</v>
      </c>
    </row>
    <row r="73" spans="2:34" hidden="1" outlineLevel="2" x14ac:dyDescent="0.25">
      <c r="B73" s="28"/>
      <c r="F73" s="3" t="s">
        <v>29</v>
      </c>
      <c r="H73" s="20">
        <f t="shared" si="50"/>
        <v>0</v>
      </c>
      <c r="I73" s="31"/>
      <c r="J73" s="20"/>
      <c r="K73" s="31"/>
      <c r="L73" s="20">
        <f t="shared" si="51"/>
        <v>0</v>
      </c>
      <c r="M73" s="20"/>
      <c r="N73" s="20">
        <f t="shared" si="52"/>
        <v>0</v>
      </c>
      <c r="O73" s="20"/>
      <c r="P73" s="31">
        <f>'05 MŠ Svojsíkova 352'!N46</f>
        <v>0</v>
      </c>
      <c r="Q73" s="31">
        <f>'05 MŠ Svojsíkova 352'!P46</f>
        <v>0</v>
      </c>
      <c r="R73" s="20">
        <f t="shared" si="53"/>
        <v>0</v>
      </c>
      <c r="S73" s="20"/>
      <c r="T73" s="20">
        <f t="shared" si="54"/>
        <v>17386.21</v>
      </c>
      <c r="U73" s="20">
        <f t="shared" si="55"/>
        <v>1628.5169678065959</v>
      </c>
      <c r="V73" s="20">
        <f>'05 MŠ Svojsíkova 352'!V31</f>
        <v>17386.21</v>
      </c>
      <c r="W73" s="20">
        <f>'05 MŠ Svojsíkova 352'!W31</f>
        <v>1628.5169678065959</v>
      </c>
      <c r="X73" s="31"/>
      <c r="Y73" s="31"/>
      <c r="Z73" s="31">
        <f>'05 MŠ Svojsíkova 352'!Y31</f>
        <v>16375.74037163771</v>
      </c>
      <c r="AA73" s="20">
        <f t="shared" si="56"/>
        <v>19814.64584968163</v>
      </c>
      <c r="AB73" s="20"/>
      <c r="AC73" s="31">
        <f>'05 MŠ Svojsíkova 352'!R46</f>
        <v>0</v>
      </c>
      <c r="AD73" s="31">
        <f>'05 MŠ Svojsíkova 352'!T46</f>
        <v>0</v>
      </c>
      <c r="AE73" s="20">
        <f t="shared" si="57"/>
        <v>0</v>
      </c>
      <c r="AF73" s="20"/>
      <c r="AG73" s="20"/>
      <c r="AH73" s="20">
        <f t="shared" si="58"/>
        <v>0</v>
      </c>
    </row>
    <row r="74" spans="2:34" hidden="1" outlineLevel="2" x14ac:dyDescent="0.25">
      <c r="B74" s="28"/>
      <c r="F74" s="18" t="s">
        <v>30</v>
      </c>
      <c r="G74" s="34"/>
      <c r="H74" s="21">
        <f t="shared" si="50"/>
        <v>0</v>
      </c>
      <c r="I74" s="21"/>
      <c r="J74" s="21"/>
      <c r="K74" s="21"/>
      <c r="L74" s="21">
        <f t="shared" si="51"/>
        <v>0</v>
      </c>
      <c r="M74" s="20"/>
      <c r="N74" s="21">
        <f t="shared" si="52"/>
        <v>0</v>
      </c>
      <c r="O74" s="21"/>
      <c r="P74" s="21">
        <f>'05 MŠ Svojsíkova 352'!N47</f>
        <v>0</v>
      </c>
      <c r="Q74" s="21">
        <f>'05 MŠ Svojsíkova 352'!P47</f>
        <v>0</v>
      </c>
      <c r="R74" s="21">
        <f t="shared" si="53"/>
        <v>0</v>
      </c>
      <c r="S74" s="20"/>
      <c r="T74" s="21">
        <f t="shared" si="54"/>
        <v>23360.71</v>
      </c>
      <c r="U74" s="21">
        <f t="shared" si="55"/>
        <v>2188.1314337632657</v>
      </c>
      <c r="V74" s="21">
        <f>'05 MŠ Svojsíkova 352'!V32</f>
        <v>23360.71</v>
      </c>
      <c r="W74" s="21">
        <f>'05 MŠ Svojsíkova 352'!W32</f>
        <v>2188.1314337632657</v>
      </c>
      <c r="X74" s="21"/>
      <c r="Y74" s="21"/>
      <c r="Z74" s="21">
        <f>'05 MŠ Svojsíkova 352'!Y32</f>
        <v>22003.008237972554</v>
      </c>
      <c r="AA74" s="21">
        <f t="shared" si="56"/>
        <v>26623.63996794679</v>
      </c>
      <c r="AB74" s="20"/>
      <c r="AC74" s="21">
        <f>'05 MŠ Svojsíkova 352'!R47</f>
        <v>0</v>
      </c>
      <c r="AD74" s="21">
        <f>'05 MŠ Svojsíkova 352'!T47</f>
        <v>0</v>
      </c>
      <c r="AE74" s="21">
        <f t="shared" si="57"/>
        <v>0</v>
      </c>
      <c r="AF74" s="20"/>
      <c r="AG74" s="21"/>
      <c r="AH74" s="21">
        <f t="shared" si="58"/>
        <v>0</v>
      </c>
    </row>
    <row r="75" spans="2:34" s="19" customFormat="1" ht="15" collapsed="1" x14ac:dyDescent="0.25">
      <c r="B75" s="26">
        <v>5</v>
      </c>
      <c r="C75" s="22" t="s">
        <v>195</v>
      </c>
      <c r="D75" s="22"/>
      <c r="E75" s="22"/>
      <c r="F75" s="22" t="s">
        <v>31</v>
      </c>
      <c r="G75" s="22"/>
      <c r="H75" s="23">
        <f>SUM(H63:H74)</f>
        <v>0</v>
      </c>
      <c r="I75" s="23"/>
      <c r="J75" s="23"/>
      <c r="K75" s="23">
        <f>SUM(K63:K74)</f>
        <v>0</v>
      </c>
      <c r="L75" s="23">
        <f>SUM(L63:L74)</f>
        <v>0</v>
      </c>
      <c r="M75" s="23"/>
      <c r="N75" s="23">
        <f>SUM(N63:N74)</f>
        <v>17502</v>
      </c>
      <c r="O75" s="23"/>
      <c r="P75" s="23"/>
      <c r="Q75" s="23">
        <f>SUM(Q63:Q74)</f>
        <v>56333.61</v>
      </c>
      <c r="R75" s="23">
        <f>SUM(R63:R74)</f>
        <v>68163.668099999995</v>
      </c>
      <c r="S75" s="23"/>
      <c r="T75" s="23">
        <f>SUM(T63:T74)</f>
        <v>159440.53999999998</v>
      </c>
      <c r="U75" s="23">
        <f>SUM(U63:U74)</f>
        <v>14934.452778088566</v>
      </c>
      <c r="V75" s="23"/>
      <c r="W75" s="23"/>
      <c r="X75" s="23"/>
      <c r="Y75" s="23"/>
      <c r="Z75" s="23">
        <f>SUM(Z63:Z74)</f>
        <v>140241.572257119</v>
      </c>
      <c r="AA75" s="23">
        <f>SUM(AA63:AA74)</f>
        <v>169692.30243111402</v>
      </c>
      <c r="AB75" s="23"/>
      <c r="AC75" s="364">
        <f>SUM(AC63:AC74)</f>
        <v>654</v>
      </c>
      <c r="AD75" s="364">
        <f t="shared" ref="AD75" si="59">SUM(AD63:AD74)</f>
        <v>55733.880000000005</v>
      </c>
      <c r="AE75" s="23">
        <f t="shared" ref="AE75" si="60">SUM(AE63:AE74)</f>
        <v>64093.962</v>
      </c>
      <c r="AF75" s="23"/>
      <c r="AG75" s="23">
        <f t="shared" ref="AG75" si="61">SUM(AG63:AG74)</f>
        <v>0</v>
      </c>
      <c r="AH75" s="23">
        <f t="shared" ref="AH75" si="62">SUM(AH63:AH74)</f>
        <v>0</v>
      </c>
    </row>
    <row r="76" spans="2:34" s="19" customFormat="1" ht="5.25" hidden="1" customHeight="1" outlineLevel="1" x14ac:dyDescent="0.25">
      <c r="B76" s="27"/>
      <c r="C76" s="24"/>
      <c r="D76" s="24"/>
      <c r="E76" s="24"/>
      <c r="F76" s="24"/>
      <c r="G76" s="24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</row>
    <row r="77" spans="2:34" hidden="1" outlineLevel="2" x14ac:dyDescent="0.25">
      <c r="B77" s="28"/>
      <c r="F77" s="3" t="s">
        <v>19</v>
      </c>
      <c r="H77" s="20">
        <f>SUM(I77:J77)</f>
        <v>0</v>
      </c>
      <c r="I77" s="31"/>
      <c r="J77" s="31"/>
      <c r="K77" s="31"/>
      <c r="L77" s="20">
        <f>K77*(1+L$5)</f>
        <v>0</v>
      </c>
      <c r="M77" s="20"/>
      <c r="N77" s="20">
        <f>SUM(O77:P77)</f>
        <v>1030.7</v>
      </c>
      <c r="O77" s="20"/>
      <c r="P77" s="31">
        <f>'06 MŠ Svojsíkova 355'!N36</f>
        <v>1030.7</v>
      </c>
      <c r="Q77" s="31">
        <f>'06 MŠ Svojsíkova 355'!P36</f>
        <v>4085.2299999999996</v>
      </c>
      <c r="R77" s="20">
        <f>Q77*(1+R$5)</f>
        <v>4943.1282999999994</v>
      </c>
      <c r="S77" s="20"/>
      <c r="T77" s="20">
        <f>SUM(V77,X77)</f>
        <v>12507.75</v>
      </c>
      <c r="U77" s="20">
        <f>SUM(W77,Y77)</f>
        <v>1171.5654592969343</v>
      </c>
      <c r="V77" s="20">
        <f>'06 MŠ Svojsíkova 355'!V36</f>
        <v>12507.75</v>
      </c>
      <c r="W77" s="20">
        <f>'06 MŠ Svojsíkova 355'!W36</f>
        <v>1171.5654592969343</v>
      </c>
      <c r="X77" s="20"/>
      <c r="Y77" s="20"/>
      <c r="Z77" s="20">
        <f>'06 MŠ Svojsíkova 355'!Y36</f>
        <v>10432.795405128523</v>
      </c>
      <c r="AA77" s="20">
        <f>Z77*(1+AA$5)</f>
        <v>12623.682440205514</v>
      </c>
      <c r="AB77" s="20"/>
      <c r="AC77" s="31">
        <f>'06 MŠ Svojsíkova 355'!R36</f>
        <v>141</v>
      </c>
      <c r="AD77" s="31">
        <f>'06 MŠ Svojsíkova 355'!T36</f>
        <v>12016.02</v>
      </c>
      <c r="AE77" s="20">
        <f>AD77*(1+AE$5)</f>
        <v>13818.422999999999</v>
      </c>
      <c r="AF77" s="20"/>
      <c r="AG77" s="20"/>
      <c r="AH77" s="20">
        <f>AG77*(1+AH$5)</f>
        <v>0</v>
      </c>
    </row>
    <row r="78" spans="2:34" hidden="1" outlineLevel="2" x14ac:dyDescent="0.25">
      <c r="B78" s="28"/>
      <c r="F78" s="3" t="s">
        <v>20</v>
      </c>
      <c r="H78" s="20">
        <f t="shared" ref="H78:H88" si="63">SUM(I78:J78)</f>
        <v>0</v>
      </c>
      <c r="I78" s="31"/>
      <c r="J78" s="31"/>
      <c r="K78" s="31"/>
      <c r="L78" s="20">
        <f t="shared" ref="L78:L88" si="64">K78*(1+L$5)</f>
        <v>0</v>
      </c>
      <c r="M78" s="20"/>
      <c r="N78" s="20">
        <f t="shared" ref="N78:N88" si="65">SUM(O78:P78)</f>
        <v>0</v>
      </c>
      <c r="O78" s="20"/>
      <c r="P78" s="31">
        <f>'06 MŠ Svojsíkova 355'!N37</f>
        <v>0</v>
      </c>
      <c r="Q78" s="31">
        <f>'06 MŠ Svojsíkova 355'!P37</f>
        <v>0</v>
      </c>
      <c r="R78" s="20">
        <f t="shared" ref="R78:R88" si="66">Q78*(1+R$5)</f>
        <v>0</v>
      </c>
      <c r="S78" s="20"/>
      <c r="T78" s="20">
        <f t="shared" ref="T78:T88" si="67">SUM(V78,X78)</f>
        <v>8445.9599999999991</v>
      </c>
      <c r="U78" s="20">
        <f t="shared" ref="U78:U88" si="68">SUM(W78,Y78)</f>
        <v>791.10911287829822</v>
      </c>
      <c r="V78" s="20">
        <f>'06 MŠ Svojsíkova 355'!V37</f>
        <v>8445.9599999999991</v>
      </c>
      <c r="W78" s="20">
        <f>'06 MŠ Svojsíkova 355'!W37</f>
        <v>791.10911287829822</v>
      </c>
      <c r="X78" s="20"/>
      <c r="Y78" s="20"/>
      <c r="Z78" s="20">
        <f>'06 MŠ Svojsíkova 355'!Y37</f>
        <v>7044.8300197796798</v>
      </c>
      <c r="AA78" s="20">
        <f t="shared" ref="AA78:AA88" si="69">Z78*(1+AA$5)</f>
        <v>8524.2443239334116</v>
      </c>
      <c r="AB78" s="20"/>
      <c r="AC78" s="31">
        <f>'06 MŠ Svojsíkova 355'!R37</f>
        <v>0</v>
      </c>
      <c r="AD78" s="31">
        <f>'06 MŠ Svojsíkova 355'!T37</f>
        <v>0</v>
      </c>
      <c r="AE78" s="20">
        <f t="shared" ref="AE78:AE88" si="70">AD78*(1+AE$5)</f>
        <v>0</v>
      </c>
      <c r="AF78" s="20"/>
      <c r="AG78" s="20"/>
      <c r="AH78" s="20">
        <f t="shared" ref="AH78:AH88" si="71">AG78*(1+AH$5)</f>
        <v>0</v>
      </c>
    </row>
    <row r="79" spans="2:34" hidden="1" outlineLevel="2" x14ac:dyDescent="0.25">
      <c r="B79" s="28"/>
      <c r="F79" s="3" t="s">
        <v>21</v>
      </c>
      <c r="H79" s="20">
        <f t="shared" si="63"/>
        <v>0</v>
      </c>
      <c r="I79" s="31"/>
      <c r="J79" s="31"/>
      <c r="K79" s="31"/>
      <c r="L79" s="20">
        <f t="shared" si="64"/>
        <v>0</v>
      </c>
      <c r="M79" s="20"/>
      <c r="N79" s="20">
        <f t="shared" si="65"/>
        <v>0</v>
      </c>
      <c r="O79" s="20"/>
      <c r="P79" s="31">
        <f>'06 MŠ Svojsíkova 355'!N38</f>
        <v>0</v>
      </c>
      <c r="Q79" s="31">
        <f>'06 MŠ Svojsíkova 355'!P38</f>
        <v>0</v>
      </c>
      <c r="R79" s="20">
        <f t="shared" si="66"/>
        <v>0</v>
      </c>
      <c r="S79" s="20"/>
      <c r="T79" s="20">
        <f t="shared" si="67"/>
        <v>9122.92</v>
      </c>
      <c r="U79" s="20">
        <f t="shared" si="68"/>
        <v>854.5180356122554</v>
      </c>
      <c r="V79" s="20">
        <f>'06 MŠ Svojsíkova 355'!V38</f>
        <v>9122.92</v>
      </c>
      <c r="W79" s="20">
        <f>'06 MŠ Svojsíkova 355'!W38</f>
        <v>854.5180356122554</v>
      </c>
      <c r="X79" s="20"/>
      <c r="Y79" s="20"/>
      <c r="Z79" s="20">
        <f>'06 MŠ Svojsíkova 355'!Y38</f>
        <v>7609.486746805389</v>
      </c>
      <c r="AA79" s="20">
        <f t="shared" si="69"/>
        <v>9207.4789636345213</v>
      </c>
      <c r="AB79" s="20"/>
      <c r="AC79" s="31">
        <f>'06 MŠ Svojsíkova 355'!R38</f>
        <v>0</v>
      </c>
      <c r="AD79" s="31">
        <f>'06 MŠ Svojsíkova 355'!T38</f>
        <v>0</v>
      </c>
      <c r="AE79" s="20">
        <f t="shared" si="70"/>
        <v>0</v>
      </c>
      <c r="AF79" s="20"/>
      <c r="AG79" s="20"/>
      <c r="AH79" s="20">
        <f t="shared" si="71"/>
        <v>0</v>
      </c>
    </row>
    <row r="80" spans="2:34" hidden="1" outlineLevel="2" x14ac:dyDescent="0.25">
      <c r="B80" s="28"/>
      <c r="F80" s="3" t="s">
        <v>22</v>
      </c>
      <c r="H80" s="20">
        <f t="shared" si="63"/>
        <v>0</v>
      </c>
      <c r="I80" s="31"/>
      <c r="J80" s="31"/>
      <c r="K80" s="31"/>
      <c r="L80" s="20">
        <f t="shared" si="64"/>
        <v>0</v>
      </c>
      <c r="M80" s="20"/>
      <c r="N80" s="20">
        <f t="shared" si="65"/>
        <v>0</v>
      </c>
      <c r="O80" s="20"/>
      <c r="P80" s="31">
        <f>'06 MŠ Svojsíkova 355'!N39</f>
        <v>0</v>
      </c>
      <c r="Q80" s="31">
        <f>'06 MŠ Svojsíkova 355'!P39</f>
        <v>0</v>
      </c>
      <c r="R80" s="20">
        <f t="shared" si="66"/>
        <v>0</v>
      </c>
      <c r="S80" s="20"/>
      <c r="T80" s="20">
        <f t="shared" si="67"/>
        <v>5190.07</v>
      </c>
      <c r="U80" s="20">
        <f t="shared" si="68"/>
        <v>486.13913320407261</v>
      </c>
      <c r="V80" s="20">
        <f>'06 MŠ Svojsíkova 355'!V39</f>
        <v>5190.07</v>
      </c>
      <c r="W80" s="20">
        <f>'06 MŠ Svojsíkova 355'!W39</f>
        <v>486.13913320407261</v>
      </c>
      <c r="X80" s="31"/>
      <c r="Y80" s="31"/>
      <c r="Z80" s="20">
        <f>'06 MŠ Svojsíkova 355'!Y39</f>
        <v>4329.0710518115084</v>
      </c>
      <c r="AA80" s="20">
        <f t="shared" si="69"/>
        <v>5238.1759726919254</v>
      </c>
      <c r="AB80" s="20"/>
      <c r="AC80" s="31">
        <f>'06 MŠ Svojsíkova 355'!R39</f>
        <v>0</v>
      </c>
      <c r="AD80" s="31">
        <f>'06 MŠ Svojsíkova 355'!T39</f>
        <v>0</v>
      </c>
      <c r="AE80" s="20">
        <f t="shared" si="70"/>
        <v>0</v>
      </c>
      <c r="AF80" s="20"/>
      <c r="AG80" s="20"/>
      <c r="AH80" s="20">
        <f t="shared" si="71"/>
        <v>0</v>
      </c>
    </row>
    <row r="81" spans="2:34" hidden="1" outlineLevel="2" x14ac:dyDescent="0.25">
      <c r="B81" s="28"/>
      <c r="F81" s="3" t="s">
        <v>23</v>
      </c>
      <c r="H81" s="20">
        <f t="shared" si="63"/>
        <v>0</v>
      </c>
      <c r="I81" s="31"/>
      <c r="J81" s="31"/>
      <c r="K81" s="31"/>
      <c r="L81" s="20">
        <f t="shared" si="64"/>
        <v>0</v>
      </c>
      <c r="M81" s="20"/>
      <c r="N81" s="20">
        <f t="shared" si="65"/>
        <v>1909.3999999999999</v>
      </c>
      <c r="O81" s="20"/>
      <c r="P81" s="31">
        <f>'06 MŠ Svojsíkova 355'!N40</f>
        <v>1909.3999999999999</v>
      </c>
      <c r="Q81" s="31">
        <f>'06 MŠ Svojsíkova 355'!P40</f>
        <v>7961.26</v>
      </c>
      <c r="R81" s="20">
        <f t="shared" si="66"/>
        <v>9633.1245999999992</v>
      </c>
      <c r="S81" s="20"/>
      <c r="T81" s="20">
        <f t="shared" si="67"/>
        <v>2170.59</v>
      </c>
      <c r="U81" s="20">
        <f t="shared" si="68"/>
        <v>203.31300755894009</v>
      </c>
      <c r="V81" s="20">
        <f>'06 MŠ Svojsíkova 355'!V40</f>
        <v>2170.59</v>
      </c>
      <c r="W81" s="20">
        <f>'06 MŠ Svojsíkova 355'!W40</f>
        <v>203.31300755894009</v>
      </c>
      <c r="X81" s="31"/>
      <c r="Y81" s="31"/>
      <c r="Z81" s="20">
        <f>'06 MŠ Svojsíkova 355'!Y40</f>
        <v>1810.5031982904936</v>
      </c>
      <c r="AA81" s="20">
        <f t="shared" si="69"/>
        <v>2190.7088699314972</v>
      </c>
      <c r="AB81" s="20"/>
      <c r="AC81" s="31">
        <f>'06 MŠ Svojsíkova 355'!R40</f>
        <v>0</v>
      </c>
      <c r="AD81" s="31">
        <f>'06 MŠ Svojsíkova 355'!T40</f>
        <v>0</v>
      </c>
      <c r="AE81" s="20">
        <f t="shared" si="70"/>
        <v>0</v>
      </c>
      <c r="AF81" s="20"/>
      <c r="AG81" s="20"/>
      <c r="AH81" s="20">
        <f t="shared" si="71"/>
        <v>0</v>
      </c>
    </row>
    <row r="82" spans="2:34" hidden="1" outlineLevel="2" x14ac:dyDescent="0.25">
      <c r="B82" s="28"/>
      <c r="F82" s="3" t="s">
        <v>24</v>
      </c>
      <c r="H82" s="20">
        <f t="shared" si="63"/>
        <v>0</v>
      </c>
      <c r="I82" s="31"/>
      <c r="J82" s="31"/>
      <c r="K82" s="31"/>
      <c r="L82" s="20">
        <f t="shared" si="64"/>
        <v>0</v>
      </c>
      <c r="M82" s="20"/>
      <c r="N82" s="20">
        <f t="shared" si="65"/>
        <v>0</v>
      </c>
      <c r="O82" s="20"/>
      <c r="P82" s="31">
        <f>'06 MŠ Svojsíkova 355'!N41</f>
        <v>0</v>
      </c>
      <c r="Q82" s="31">
        <f>'06 MŠ Svojsíkova 355'!P41</f>
        <v>0</v>
      </c>
      <c r="R82" s="20">
        <f t="shared" si="66"/>
        <v>0</v>
      </c>
      <c r="S82" s="20"/>
      <c r="T82" s="20">
        <f t="shared" si="67"/>
        <v>451.31</v>
      </c>
      <c r="U82" s="20">
        <f t="shared" si="68"/>
        <v>42.272927379848447</v>
      </c>
      <c r="V82" s="20">
        <f>'06 MŠ Svojsíkova 355'!V41</f>
        <v>451.31</v>
      </c>
      <c r="W82" s="20">
        <f>'06 MŠ Svojsíkova 355'!W41</f>
        <v>42.272927379848447</v>
      </c>
      <c r="X82" s="31"/>
      <c r="Y82" s="31"/>
      <c r="Z82" s="20">
        <f>'06 MŠ Svojsíkova 355'!Y41</f>
        <v>376.44059837209358</v>
      </c>
      <c r="AA82" s="20">
        <f t="shared" si="69"/>
        <v>455.49312403023322</v>
      </c>
      <c r="AB82" s="20"/>
      <c r="AC82" s="31">
        <f>'06 MŠ Svojsíkova 355'!R41</f>
        <v>0</v>
      </c>
      <c r="AD82" s="31">
        <f>'06 MŠ Svojsíkova 355'!T41</f>
        <v>0</v>
      </c>
      <c r="AE82" s="20">
        <f t="shared" si="70"/>
        <v>0</v>
      </c>
      <c r="AF82" s="20"/>
      <c r="AG82" s="20"/>
      <c r="AH82" s="20">
        <f t="shared" si="71"/>
        <v>0</v>
      </c>
    </row>
    <row r="83" spans="2:34" hidden="1" outlineLevel="2" x14ac:dyDescent="0.25">
      <c r="B83" s="28"/>
      <c r="F83" s="3" t="s">
        <v>25</v>
      </c>
      <c r="H83" s="20">
        <f t="shared" si="63"/>
        <v>0</v>
      </c>
      <c r="I83" s="31"/>
      <c r="J83" s="31"/>
      <c r="K83" s="31"/>
      <c r="L83" s="20">
        <f t="shared" si="64"/>
        <v>0</v>
      </c>
      <c r="M83" s="20"/>
      <c r="N83" s="20">
        <f t="shared" si="65"/>
        <v>0</v>
      </c>
      <c r="O83" s="20"/>
      <c r="P83" s="31">
        <f>'06 MŠ Svojsíkova 355'!N42</f>
        <v>0</v>
      </c>
      <c r="Q83" s="31">
        <f>'06 MŠ Svojsíkova 355'!P42</f>
        <v>0</v>
      </c>
      <c r="R83" s="20">
        <f t="shared" si="66"/>
        <v>0</v>
      </c>
      <c r="S83" s="20"/>
      <c r="T83" s="20">
        <f t="shared" si="67"/>
        <v>429</v>
      </c>
      <c r="U83" s="20">
        <f t="shared" si="68"/>
        <v>40.261563158082581</v>
      </c>
      <c r="V83" s="20">
        <f>'06 MŠ Svojsíkova 355'!V27</f>
        <v>429</v>
      </c>
      <c r="W83" s="20">
        <f>'06 MŠ Svojsíkova 355'!W27</f>
        <v>40.261563158082581</v>
      </c>
      <c r="X83" s="31"/>
      <c r="Y83" s="31"/>
      <c r="Z83" s="20">
        <f>'06 MŠ Svojsíkova 355'!Y27</f>
        <v>395.68785585954754</v>
      </c>
      <c r="AA83" s="20">
        <f t="shared" si="69"/>
        <v>478.78230559005249</v>
      </c>
      <c r="AB83" s="20"/>
      <c r="AC83" s="31">
        <f>'06 MŠ Svojsíkova 355'!R42</f>
        <v>0</v>
      </c>
      <c r="AD83" s="31">
        <f>'06 MŠ Svojsíkova 355'!T42</f>
        <v>0</v>
      </c>
      <c r="AE83" s="20">
        <f t="shared" si="70"/>
        <v>0</v>
      </c>
      <c r="AF83" s="20"/>
      <c r="AG83" s="20"/>
      <c r="AH83" s="20">
        <f t="shared" si="71"/>
        <v>0</v>
      </c>
    </row>
    <row r="84" spans="2:34" hidden="1" outlineLevel="2" x14ac:dyDescent="0.25">
      <c r="B84" s="28"/>
      <c r="F84" s="3" t="s">
        <v>26</v>
      </c>
      <c r="H84" s="20">
        <f t="shared" si="63"/>
        <v>0</v>
      </c>
      <c r="I84" s="31"/>
      <c r="J84" s="31"/>
      <c r="K84" s="31"/>
      <c r="L84" s="20">
        <f t="shared" si="64"/>
        <v>0</v>
      </c>
      <c r="M84" s="20"/>
      <c r="N84" s="20">
        <f t="shared" si="65"/>
        <v>0</v>
      </c>
      <c r="O84" s="20"/>
      <c r="P84" s="31">
        <f>'06 MŠ Svojsíkova 355'!N43</f>
        <v>0</v>
      </c>
      <c r="Q84" s="31">
        <f>'06 MŠ Svojsíkova 355'!P43</f>
        <v>0</v>
      </c>
      <c r="R84" s="20">
        <f t="shared" si="66"/>
        <v>0</v>
      </c>
      <c r="S84" s="20"/>
      <c r="T84" s="20">
        <f t="shared" si="67"/>
        <v>376.09</v>
      </c>
      <c r="U84" s="20">
        <f t="shared" si="68"/>
        <v>35.227283371268534</v>
      </c>
      <c r="V84" s="20">
        <f>'06 MŠ Svojsíkova 355'!V28</f>
        <v>376.09</v>
      </c>
      <c r="W84" s="20">
        <f>'06 MŠ Svojsíkova 355'!W28</f>
        <v>35.227283371268534</v>
      </c>
      <c r="X84" s="31"/>
      <c r="Y84" s="31"/>
      <c r="Z84" s="31">
        <f>'06 MŠ Svojsíkova 355'!Y28</f>
        <v>346.88635363686996</v>
      </c>
      <c r="AA84" s="20">
        <f t="shared" si="69"/>
        <v>419.73248790061263</v>
      </c>
      <c r="AB84" s="20"/>
      <c r="AC84" s="31">
        <f>'06 MŠ Svojsíkova 355'!R43</f>
        <v>0</v>
      </c>
      <c r="AD84" s="31">
        <f>'06 MŠ Svojsíkova 355'!T43</f>
        <v>0</v>
      </c>
      <c r="AE84" s="20">
        <f t="shared" si="70"/>
        <v>0</v>
      </c>
      <c r="AF84" s="20"/>
      <c r="AG84" s="20"/>
      <c r="AH84" s="20">
        <f t="shared" si="71"/>
        <v>0</v>
      </c>
    </row>
    <row r="85" spans="2:34" hidden="1" outlineLevel="2" x14ac:dyDescent="0.25">
      <c r="B85" s="28"/>
      <c r="F85" s="3" t="s">
        <v>27</v>
      </c>
      <c r="H85" s="20">
        <f t="shared" si="63"/>
        <v>0</v>
      </c>
      <c r="I85" s="31"/>
      <c r="J85" s="31"/>
      <c r="K85" s="31"/>
      <c r="L85" s="20">
        <f t="shared" si="64"/>
        <v>0</v>
      </c>
      <c r="M85" s="20"/>
      <c r="N85" s="20">
        <f t="shared" si="65"/>
        <v>0</v>
      </c>
      <c r="O85" s="20"/>
      <c r="P85" s="31">
        <f>'06 MŠ Svojsíkova 355'!N44</f>
        <v>0</v>
      </c>
      <c r="Q85" s="31">
        <f>'06 MŠ Svojsíkova 355'!P44</f>
        <v>0</v>
      </c>
      <c r="R85" s="20">
        <f t="shared" si="66"/>
        <v>0</v>
      </c>
      <c r="S85" s="20"/>
      <c r="T85" s="20">
        <f t="shared" si="67"/>
        <v>1418.41</v>
      </c>
      <c r="U85" s="20">
        <f t="shared" si="68"/>
        <v>132.858440816403</v>
      </c>
      <c r="V85" s="20">
        <f>'06 MŠ Svojsíkova 355'!V29</f>
        <v>1418.41</v>
      </c>
      <c r="W85" s="20">
        <f>'06 MŠ Svojsíkova 355'!W29</f>
        <v>132.858440816403</v>
      </c>
      <c r="X85" s="31"/>
      <c r="Y85" s="31"/>
      <c r="Z85" s="31">
        <f>'06 MŠ Svojsíkova 355'!Y29</f>
        <v>1308.2694909784168</v>
      </c>
      <c r="AA85" s="20">
        <f t="shared" si="69"/>
        <v>1583.0060840838844</v>
      </c>
      <c r="AB85" s="20"/>
      <c r="AC85" s="31">
        <f>'06 MŠ Svojsíkova 355'!R44</f>
        <v>0</v>
      </c>
      <c r="AD85" s="31">
        <f>'06 MŠ Svojsíkova 355'!T44</f>
        <v>0</v>
      </c>
      <c r="AE85" s="20">
        <f t="shared" si="70"/>
        <v>0</v>
      </c>
      <c r="AF85" s="20"/>
      <c r="AG85" s="20"/>
      <c r="AH85" s="20">
        <f t="shared" si="71"/>
        <v>0</v>
      </c>
    </row>
    <row r="86" spans="2:34" hidden="1" outlineLevel="2" x14ac:dyDescent="0.25">
      <c r="B86" s="28"/>
      <c r="F86" s="3" t="s">
        <v>28</v>
      </c>
      <c r="H86" s="20">
        <f t="shared" si="63"/>
        <v>0</v>
      </c>
      <c r="I86" s="31"/>
      <c r="J86" s="31"/>
      <c r="K86" s="31"/>
      <c r="L86" s="20">
        <f t="shared" si="64"/>
        <v>0</v>
      </c>
      <c r="M86" s="20"/>
      <c r="N86" s="20">
        <f t="shared" si="65"/>
        <v>0</v>
      </c>
      <c r="O86" s="20"/>
      <c r="P86" s="31">
        <f>'06 MŠ Svojsíkova 355'!N45</f>
        <v>0</v>
      </c>
      <c r="Q86" s="31">
        <f>'06 MŠ Svojsíkova 355'!P45</f>
        <v>0</v>
      </c>
      <c r="R86" s="20">
        <f t="shared" si="66"/>
        <v>0</v>
      </c>
      <c r="S86" s="20"/>
      <c r="T86" s="20">
        <f t="shared" si="67"/>
        <v>5265.29</v>
      </c>
      <c r="U86" s="20">
        <f t="shared" si="68"/>
        <v>493.18477721265253</v>
      </c>
      <c r="V86" s="20">
        <f>'06 MŠ Svojsíkova 355'!V30</f>
        <v>5265.29</v>
      </c>
      <c r="W86" s="20">
        <f>'06 MŠ Svojsíkova 355'!W30</f>
        <v>493.18477721265253</v>
      </c>
      <c r="X86" s="31"/>
      <c r="Y86" s="31"/>
      <c r="Z86" s="31">
        <f>'06 MŠ Svojsíkova 355'!Y30</f>
        <v>4856.43662139561</v>
      </c>
      <c r="AA86" s="20">
        <f t="shared" si="69"/>
        <v>5876.2883118886875</v>
      </c>
      <c r="AB86" s="20"/>
      <c r="AC86" s="31">
        <f>'06 MŠ Svojsíkova 355'!R45</f>
        <v>0</v>
      </c>
      <c r="AD86" s="31">
        <f>'06 MŠ Svojsíkova 355'!T45</f>
        <v>0</v>
      </c>
      <c r="AE86" s="20">
        <f t="shared" si="70"/>
        <v>0</v>
      </c>
      <c r="AF86" s="20"/>
      <c r="AG86" s="20"/>
      <c r="AH86" s="20">
        <f t="shared" si="71"/>
        <v>0</v>
      </c>
    </row>
    <row r="87" spans="2:34" hidden="1" outlineLevel="2" x14ac:dyDescent="0.25">
      <c r="B87" s="28"/>
      <c r="F87" s="3" t="s">
        <v>29</v>
      </c>
      <c r="H87" s="20">
        <f t="shared" si="63"/>
        <v>0</v>
      </c>
      <c r="I87" s="31"/>
      <c r="J87" s="31"/>
      <c r="K87" s="31"/>
      <c r="L87" s="20">
        <f t="shared" si="64"/>
        <v>0</v>
      </c>
      <c r="M87" s="20"/>
      <c r="N87" s="20">
        <f t="shared" si="65"/>
        <v>0</v>
      </c>
      <c r="O87" s="20"/>
      <c r="P87" s="31">
        <f>'06 MŠ Svojsíkova 355'!N46</f>
        <v>0</v>
      </c>
      <c r="Q87" s="31">
        <f>'06 MŠ Svojsíkova 355'!P46</f>
        <v>0</v>
      </c>
      <c r="R87" s="20">
        <f t="shared" si="66"/>
        <v>0</v>
      </c>
      <c r="S87" s="20"/>
      <c r="T87" s="20">
        <f t="shared" si="67"/>
        <v>6640.72</v>
      </c>
      <c r="U87" s="20">
        <f t="shared" si="68"/>
        <v>622.01740335890452</v>
      </c>
      <c r="V87" s="20">
        <f>'06 MŠ Svojsíkova 355'!V31</f>
        <v>6640.72</v>
      </c>
      <c r="W87" s="20">
        <f>'06 MŠ Svojsíkova 355'!W31</f>
        <v>622.01740335890452</v>
      </c>
      <c r="X87" s="31"/>
      <c r="Y87" s="31"/>
      <c r="Z87" s="31">
        <f>'06 MŠ Svojsíkova 355'!Y31</f>
        <v>6125.0635388429246</v>
      </c>
      <c r="AA87" s="20">
        <f t="shared" si="69"/>
        <v>7411.3268819999385</v>
      </c>
      <c r="AB87" s="20"/>
      <c r="AC87" s="31">
        <f>'06 MŠ Svojsíkova 355'!R46</f>
        <v>0</v>
      </c>
      <c r="AD87" s="31">
        <f>'06 MŠ Svojsíkova 355'!T46</f>
        <v>0</v>
      </c>
      <c r="AE87" s="20">
        <f t="shared" si="70"/>
        <v>0</v>
      </c>
      <c r="AF87" s="20"/>
      <c r="AG87" s="20"/>
      <c r="AH87" s="20">
        <f t="shared" si="71"/>
        <v>0</v>
      </c>
    </row>
    <row r="88" spans="2:34" hidden="1" outlineLevel="2" x14ac:dyDescent="0.25">
      <c r="B88" s="28"/>
      <c r="F88" s="18" t="s">
        <v>30</v>
      </c>
      <c r="G88" s="34"/>
      <c r="H88" s="21">
        <f t="shared" si="63"/>
        <v>0</v>
      </c>
      <c r="I88" s="21"/>
      <c r="J88" s="21"/>
      <c r="K88" s="21"/>
      <c r="L88" s="21">
        <f t="shared" si="64"/>
        <v>0</v>
      </c>
      <c r="M88" s="20"/>
      <c r="N88" s="21">
        <f t="shared" si="65"/>
        <v>0</v>
      </c>
      <c r="O88" s="21"/>
      <c r="P88" s="21">
        <f>'06 MŠ Svojsíkova 355'!N47</f>
        <v>0</v>
      </c>
      <c r="Q88" s="21">
        <f>'06 MŠ Svojsíkova 355'!P47</f>
        <v>0</v>
      </c>
      <c r="R88" s="21">
        <f t="shared" si="66"/>
        <v>0</v>
      </c>
      <c r="S88" s="20"/>
      <c r="T88" s="21">
        <f t="shared" si="67"/>
        <v>8908.02</v>
      </c>
      <c r="U88" s="21">
        <f t="shared" si="68"/>
        <v>834.38896226150007</v>
      </c>
      <c r="V88" s="21">
        <f>'06 MŠ Svojsíkova 355'!V32</f>
        <v>8908.02</v>
      </c>
      <c r="W88" s="21">
        <f>'06 MŠ Svojsíkova 355'!W32</f>
        <v>834.38896226150007</v>
      </c>
      <c r="X88" s="21"/>
      <c r="Y88" s="21"/>
      <c r="Z88" s="21">
        <f>'06 MŠ Svojsíkova 355'!Y32</f>
        <v>8216.3061392866348</v>
      </c>
      <c r="AA88" s="21">
        <f t="shared" si="69"/>
        <v>9941.7304285368282</v>
      </c>
      <c r="AB88" s="20"/>
      <c r="AC88" s="21">
        <f>'06 MŠ Svojsíkova 355'!R47</f>
        <v>0</v>
      </c>
      <c r="AD88" s="21">
        <f>'06 MŠ Svojsíkova 355'!T47</f>
        <v>0</v>
      </c>
      <c r="AE88" s="21">
        <f t="shared" si="70"/>
        <v>0</v>
      </c>
      <c r="AF88" s="20"/>
      <c r="AG88" s="21"/>
      <c r="AH88" s="21">
        <f t="shared" si="71"/>
        <v>0</v>
      </c>
    </row>
    <row r="89" spans="2:34" s="19" customFormat="1" ht="15" collapsed="1" x14ac:dyDescent="0.25">
      <c r="B89" s="90">
        <v>6</v>
      </c>
      <c r="C89" s="22" t="s">
        <v>196</v>
      </c>
      <c r="D89" s="22"/>
      <c r="E89" s="22"/>
      <c r="F89" s="22" t="s">
        <v>31</v>
      </c>
      <c r="G89" s="22"/>
      <c r="H89" s="23">
        <f>SUM(H77:H88)</f>
        <v>0</v>
      </c>
      <c r="I89" s="23"/>
      <c r="J89" s="23"/>
      <c r="K89" s="23">
        <f>SUM(K77:K88)</f>
        <v>0</v>
      </c>
      <c r="L89" s="23">
        <f>SUM(L77:L88)</f>
        <v>0</v>
      </c>
      <c r="M89" s="23"/>
      <c r="N89" s="23">
        <f>SUM(N77:N88)</f>
        <v>2940.1</v>
      </c>
      <c r="O89" s="23"/>
      <c r="P89" s="23"/>
      <c r="Q89" s="23">
        <f>SUM(Q77:Q88)</f>
        <v>12046.49</v>
      </c>
      <c r="R89" s="23">
        <f>SUM(R77:R88)</f>
        <v>14576.252899999999</v>
      </c>
      <c r="S89" s="23"/>
      <c r="T89" s="23">
        <f>SUM(T77:T88)</f>
        <v>60926.12999999999</v>
      </c>
      <c r="U89" s="23">
        <f>SUM(U77:U88)</f>
        <v>5706.8561061091596</v>
      </c>
      <c r="V89" s="23"/>
      <c r="W89" s="23"/>
      <c r="X89" s="23"/>
      <c r="Y89" s="23"/>
      <c r="Z89" s="23">
        <f>SUM(Z77:Z88)</f>
        <v>52851.777020187692</v>
      </c>
      <c r="AA89" s="23">
        <f>SUM(AA77:AA88)</f>
        <v>63950.650194427108</v>
      </c>
      <c r="AB89" s="23"/>
      <c r="AC89" s="23">
        <f>SUM(AC77:AC88)</f>
        <v>141</v>
      </c>
      <c r="AD89" s="23">
        <f t="shared" ref="AD89" si="72">SUM(AD77:AD88)</f>
        <v>12016.02</v>
      </c>
      <c r="AE89" s="23">
        <f t="shared" ref="AE89" si="73">SUM(AE77:AE88)</f>
        <v>13818.422999999999</v>
      </c>
      <c r="AF89" s="23"/>
      <c r="AG89" s="23">
        <f t="shared" ref="AG89" si="74">SUM(AG77:AG88)</f>
        <v>0</v>
      </c>
      <c r="AH89" s="23">
        <f t="shared" ref="AH89" si="75">SUM(AH77:AH88)</f>
        <v>0</v>
      </c>
    </row>
    <row r="90" spans="2:34" s="19" customFormat="1" ht="5.25" hidden="1" customHeight="1" outlineLevel="1" x14ac:dyDescent="0.25">
      <c r="B90" s="27"/>
      <c r="C90" s="24"/>
      <c r="D90" s="24"/>
      <c r="E90" s="24"/>
      <c r="F90" s="24"/>
      <c r="G90" s="24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</row>
    <row r="91" spans="2:34" hidden="1" outlineLevel="2" x14ac:dyDescent="0.25">
      <c r="B91" s="28"/>
      <c r="F91" s="3" t="s">
        <v>19</v>
      </c>
      <c r="H91" s="31"/>
      <c r="I91" s="31"/>
      <c r="J91" s="31"/>
      <c r="K91" s="31"/>
      <c r="L91" s="20">
        <f>K91*(1+L$5)</f>
        <v>0</v>
      </c>
      <c r="M91" s="20"/>
      <c r="N91" s="20">
        <f>SUM(O91:P91)</f>
        <v>444884.9</v>
      </c>
      <c r="O91" s="20"/>
      <c r="P91" s="31">
        <f>'07 VO'!F36</f>
        <v>444884.9</v>
      </c>
      <c r="Q91" s="31">
        <f>'07 VO'!BA36</f>
        <v>797458.06299999997</v>
      </c>
      <c r="R91" s="20">
        <f>Q91*(1+R$5)</f>
        <v>964924.25622999994</v>
      </c>
      <c r="S91" s="20"/>
      <c r="T91" s="20"/>
      <c r="U91" s="20"/>
      <c r="V91" s="20"/>
      <c r="W91" s="20"/>
      <c r="X91" s="20"/>
      <c r="Y91" s="20"/>
      <c r="Z91" s="20"/>
      <c r="AA91" s="20">
        <f>Z91*(1+AA$5)</f>
        <v>0</v>
      </c>
      <c r="AB91" s="20"/>
      <c r="AC91" s="20"/>
      <c r="AD91" s="20"/>
      <c r="AE91" s="20">
        <f>AD91*(1+AE$5)</f>
        <v>0</v>
      </c>
      <c r="AF91" s="20"/>
      <c r="AG91" s="20"/>
      <c r="AH91" s="20">
        <f>AG91*(1+AH$5)</f>
        <v>0</v>
      </c>
    </row>
    <row r="92" spans="2:34" hidden="1" outlineLevel="2" x14ac:dyDescent="0.25">
      <c r="B92" s="28"/>
      <c r="F92" s="3" t="s">
        <v>20</v>
      </c>
      <c r="H92" s="31"/>
      <c r="I92" s="31"/>
      <c r="J92" s="31"/>
      <c r="K92" s="31"/>
      <c r="L92" s="20">
        <f t="shared" ref="L92:L102" si="76">K92*(1+L$5)</f>
        <v>0</v>
      </c>
      <c r="M92" s="20"/>
      <c r="N92" s="20">
        <f t="shared" ref="N92:N102" si="77">SUM(O92:P92)</f>
        <v>0</v>
      </c>
      <c r="O92" s="20"/>
      <c r="P92" s="31">
        <f>'07 VO'!F37</f>
        <v>0</v>
      </c>
      <c r="Q92" s="31">
        <f>'07 VO'!BA37</f>
        <v>0</v>
      </c>
      <c r="R92" s="20">
        <f t="shared" ref="R92:R102" si="78">Q92*(1+R$5)</f>
        <v>0</v>
      </c>
      <c r="S92" s="20"/>
      <c r="T92" s="20"/>
      <c r="U92" s="20"/>
      <c r="V92" s="20"/>
      <c r="W92" s="20"/>
      <c r="X92" s="20"/>
      <c r="Y92" s="20"/>
      <c r="Z92" s="20"/>
      <c r="AA92" s="20">
        <f t="shared" ref="AA92:AA102" si="79">Z92*(1+AA$5)</f>
        <v>0</v>
      </c>
      <c r="AB92" s="20"/>
      <c r="AC92" s="20"/>
      <c r="AD92" s="20"/>
      <c r="AE92" s="20">
        <f t="shared" ref="AE92:AE102" si="80">AD92*(1+AE$5)</f>
        <v>0</v>
      </c>
      <c r="AF92" s="20"/>
      <c r="AG92" s="20"/>
      <c r="AH92" s="20">
        <f t="shared" ref="AH92:AH102" si="81">AG92*(1+AH$5)</f>
        <v>0</v>
      </c>
    </row>
    <row r="93" spans="2:34" hidden="1" outlineLevel="2" x14ac:dyDescent="0.25">
      <c r="B93" s="28"/>
      <c r="F93" s="3" t="s">
        <v>21</v>
      </c>
      <c r="H93" s="31"/>
      <c r="I93" s="31"/>
      <c r="J93" s="31"/>
      <c r="K93" s="31"/>
      <c r="L93" s="20">
        <f t="shared" si="76"/>
        <v>0</v>
      </c>
      <c r="M93" s="20"/>
      <c r="N93" s="20">
        <f t="shared" si="77"/>
        <v>0</v>
      </c>
      <c r="O93" s="20"/>
      <c r="P93" s="31">
        <f>'07 VO'!F38</f>
        <v>0</v>
      </c>
      <c r="Q93" s="31">
        <f>'07 VO'!BA38</f>
        <v>0</v>
      </c>
      <c r="R93" s="20">
        <f t="shared" si="78"/>
        <v>0</v>
      </c>
      <c r="S93" s="20"/>
      <c r="T93" s="20"/>
      <c r="U93" s="20"/>
      <c r="V93" s="20"/>
      <c r="W93" s="20"/>
      <c r="X93" s="20"/>
      <c r="Y93" s="20"/>
      <c r="Z93" s="20"/>
      <c r="AA93" s="20">
        <f t="shared" si="79"/>
        <v>0</v>
      </c>
      <c r="AB93" s="20"/>
      <c r="AC93" s="20"/>
      <c r="AD93" s="20"/>
      <c r="AE93" s="20">
        <f t="shared" si="80"/>
        <v>0</v>
      </c>
      <c r="AF93" s="20"/>
      <c r="AG93" s="20"/>
      <c r="AH93" s="20">
        <f t="shared" si="81"/>
        <v>0</v>
      </c>
    </row>
    <row r="94" spans="2:34" hidden="1" outlineLevel="2" x14ac:dyDescent="0.25">
      <c r="B94" s="28"/>
      <c r="F94" s="3" t="s">
        <v>22</v>
      </c>
      <c r="H94" s="31"/>
      <c r="I94" s="31"/>
      <c r="J94" s="31"/>
      <c r="K94" s="31"/>
      <c r="L94" s="20">
        <f t="shared" si="76"/>
        <v>0</v>
      </c>
      <c r="M94" s="20"/>
      <c r="N94" s="20">
        <f t="shared" si="77"/>
        <v>0</v>
      </c>
      <c r="O94" s="20"/>
      <c r="P94" s="31">
        <f>'07 VO'!F39</f>
        <v>0</v>
      </c>
      <c r="Q94" s="31">
        <f>'07 VO'!BA39</f>
        <v>0</v>
      </c>
      <c r="R94" s="20">
        <f t="shared" si="78"/>
        <v>0</v>
      </c>
      <c r="S94" s="20"/>
      <c r="T94" s="20"/>
      <c r="U94" s="20"/>
      <c r="V94" s="20"/>
      <c r="W94" s="20"/>
      <c r="X94" s="20"/>
      <c r="Y94" s="20"/>
      <c r="Z94" s="20"/>
      <c r="AA94" s="20">
        <f t="shared" si="79"/>
        <v>0</v>
      </c>
      <c r="AB94" s="20"/>
      <c r="AC94" s="20"/>
      <c r="AD94" s="20"/>
      <c r="AE94" s="20">
        <f t="shared" si="80"/>
        <v>0</v>
      </c>
      <c r="AF94" s="20"/>
      <c r="AG94" s="20"/>
      <c r="AH94" s="20">
        <f t="shared" si="81"/>
        <v>0</v>
      </c>
    </row>
    <row r="95" spans="2:34" hidden="1" outlineLevel="2" x14ac:dyDescent="0.25">
      <c r="B95" s="28"/>
      <c r="F95" s="3" t="s">
        <v>23</v>
      </c>
      <c r="H95" s="31"/>
      <c r="I95" s="31"/>
      <c r="J95" s="31"/>
      <c r="K95" s="31"/>
      <c r="L95" s="20">
        <f t="shared" si="76"/>
        <v>0</v>
      </c>
      <c r="M95" s="20"/>
      <c r="N95" s="20">
        <f t="shared" si="77"/>
        <v>0</v>
      </c>
      <c r="O95" s="20"/>
      <c r="P95" s="31">
        <f>'07 VO'!F40</f>
        <v>0</v>
      </c>
      <c r="Q95" s="31">
        <f>'07 VO'!BA40</f>
        <v>0</v>
      </c>
      <c r="R95" s="20">
        <f t="shared" si="78"/>
        <v>0</v>
      </c>
      <c r="S95" s="20"/>
      <c r="T95" s="20"/>
      <c r="U95" s="20"/>
      <c r="V95" s="20"/>
      <c r="W95" s="20"/>
      <c r="X95" s="20"/>
      <c r="Y95" s="20"/>
      <c r="Z95" s="20"/>
      <c r="AA95" s="20">
        <f t="shared" si="79"/>
        <v>0</v>
      </c>
      <c r="AB95" s="20"/>
      <c r="AC95" s="20"/>
      <c r="AD95" s="20"/>
      <c r="AE95" s="20">
        <f t="shared" si="80"/>
        <v>0</v>
      </c>
      <c r="AF95" s="20"/>
      <c r="AG95" s="20"/>
      <c r="AH95" s="20">
        <f t="shared" si="81"/>
        <v>0</v>
      </c>
    </row>
    <row r="96" spans="2:34" hidden="1" outlineLevel="2" x14ac:dyDescent="0.25">
      <c r="B96" s="28"/>
      <c r="F96" s="3" t="s">
        <v>24</v>
      </c>
      <c r="H96" s="31"/>
      <c r="I96" s="31"/>
      <c r="J96" s="31"/>
      <c r="K96" s="31"/>
      <c r="L96" s="20">
        <f t="shared" si="76"/>
        <v>0</v>
      </c>
      <c r="M96" s="20"/>
      <c r="N96" s="20">
        <f t="shared" si="77"/>
        <v>0</v>
      </c>
      <c r="O96" s="20"/>
      <c r="P96" s="31">
        <f>'07 VO'!F41</f>
        <v>0</v>
      </c>
      <c r="Q96" s="31">
        <f>'07 VO'!BA41</f>
        <v>0</v>
      </c>
      <c r="R96" s="20">
        <f t="shared" si="78"/>
        <v>0</v>
      </c>
      <c r="S96" s="20"/>
      <c r="T96" s="20"/>
      <c r="U96" s="20"/>
      <c r="V96" s="20"/>
      <c r="W96" s="20"/>
      <c r="X96" s="20"/>
      <c r="Y96" s="20"/>
      <c r="Z96" s="20"/>
      <c r="AA96" s="20">
        <f t="shared" si="79"/>
        <v>0</v>
      </c>
      <c r="AB96" s="20"/>
      <c r="AC96" s="20"/>
      <c r="AD96" s="20"/>
      <c r="AE96" s="20">
        <f t="shared" si="80"/>
        <v>0</v>
      </c>
      <c r="AF96" s="20"/>
      <c r="AG96" s="20"/>
      <c r="AH96" s="20">
        <f t="shared" si="81"/>
        <v>0</v>
      </c>
    </row>
    <row r="97" spans="2:34" hidden="1" outlineLevel="2" x14ac:dyDescent="0.25">
      <c r="B97" s="28"/>
      <c r="F97" s="3" t="s">
        <v>25</v>
      </c>
      <c r="H97" s="31"/>
      <c r="I97" s="31"/>
      <c r="J97" s="31"/>
      <c r="K97" s="31"/>
      <c r="L97" s="20">
        <f t="shared" si="76"/>
        <v>0</v>
      </c>
      <c r="M97" s="20"/>
      <c r="N97" s="20">
        <f t="shared" si="77"/>
        <v>0</v>
      </c>
      <c r="O97" s="20"/>
      <c r="P97" s="31">
        <f>'07 VO'!F42</f>
        <v>0</v>
      </c>
      <c r="Q97" s="31">
        <f>'07 VO'!BA42</f>
        <v>0</v>
      </c>
      <c r="R97" s="20">
        <f t="shared" si="78"/>
        <v>0</v>
      </c>
      <c r="S97" s="20"/>
      <c r="T97" s="20"/>
      <c r="U97" s="20"/>
      <c r="V97" s="20"/>
      <c r="W97" s="20"/>
      <c r="X97" s="20"/>
      <c r="Y97" s="20"/>
      <c r="Z97" s="20"/>
      <c r="AA97" s="20">
        <f t="shared" si="79"/>
        <v>0</v>
      </c>
      <c r="AB97" s="20"/>
      <c r="AC97" s="31"/>
      <c r="AD97" s="31"/>
      <c r="AE97" s="20">
        <f t="shared" si="80"/>
        <v>0</v>
      </c>
      <c r="AF97" s="20"/>
      <c r="AG97" s="20"/>
      <c r="AH97" s="20">
        <f t="shared" si="81"/>
        <v>0</v>
      </c>
    </row>
    <row r="98" spans="2:34" hidden="1" outlineLevel="2" x14ac:dyDescent="0.25">
      <c r="B98" s="28"/>
      <c r="F98" s="3" t="s">
        <v>26</v>
      </c>
      <c r="H98" s="31"/>
      <c r="I98" s="31"/>
      <c r="J98" s="31"/>
      <c r="K98" s="31"/>
      <c r="L98" s="20">
        <f t="shared" si="76"/>
        <v>0</v>
      </c>
      <c r="M98" s="20"/>
      <c r="N98" s="20">
        <f t="shared" si="77"/>
        <v>0</v>
      </c>
      <c r="O98" s="20"/>
      <c r="P98" s="31">
        <f>'07 VO'!F43</f>
        <v>0</v>
      </c>
      <c r="Q98" s="31">
        <f>'07 VO'!BA43</f>
        <v>0</v>
      </c>
      <c r="R98" s="20">
        <f t="shared" si="78"/>
        <v>0</v>
      </c>
      <c r="S98" s="20"/>
      <c r="T98" s="20"/>
      <c r="U98" s="20"/>
      <c r="V98" s="20"/>
      <c r="W98" s="20"/>
      <c r="X98" s="20"/>
      <c r="Y98" s="20"/>
      <c r="Z98" s="20"/>
      <c r="AA98" s="20">
        <f t="shared" si="79"/>
        <v>0</v>
      </c>
      <c r="AB98" s="20"/>
      <c r="AC98" s="31"/>
      <c r="AD98" s="31"/>
      <c r="AE98" s="20">
        <f t="shared" si="80"/>
        <v>0</v>
      </c>
      <c r="AF98" s="20"/>
      <c r="AG98" s="20"/>
      <c r="AH98" s="20">
        <f t="shared" si="81"/>
        <v>0</v>
      </c>
    </row>
    <row r="99" spans="2:34" hidden="1" outlineLevel="2" x14ac:dyDescent="0.25">
      <c r="B99" s="28"/>
      <c r="F99" s="3" t="s">
        <v>27</v>
      </c>
      <c r="H99" s="31"/>
      <c r="I99" s="31"/>
      <c r="J99" s="31"/>
      <c r="K99" s="31"/>
      <c r="L99" s="20">
        <f t="shared" si="76"/>
        <v>0</v>
      </c>
      <c r="M99" s="20"/>
      <c r="N99" s="20">
        <f t="shared" si="77"/>
        <v>0</v>
      </c>
      <c r="O99" s="20"/>
      <c r="P99" s="31">
        <f>'07 VO'!F44</f>
        <v>0</v>
      </c>
      <c r="Q99" s="31">
        <f>'07 VO'!BA44</f>
        <v>0</v>
      </c>
      <c r="R99" s="20">
        <f t="shared" si="78"/>
        <v>0</v>
      </c>
      <c r="S99" s="20"/>
      <c r="T99" s="20"/>
      <c r="U99" s="20"/>
      <c r="V99" s="20"/>
      <c r="W99" s="20"/>
      <c r="X99" s="20"/>
      <c r="Y99" s="20"/>
      <c r="Z99" s="20"/>
      <c r="AA99" s="20">
        <f t="shared" si="79"/>
        <v>0</v>
      </c>
      <c r="AB99" s="20"/>
      <c r="AC99" s="31"/>
      <c r="AD99" s="31"/>
      <c r="AE99" s="20">
        <f t="shared" si="80"/>
        <v>0</v>
      </c>
      <c r="AF99" s="20"/>
      <c r="AG99" s="20"/>
      <c r="AH99" s="20">
        <f t="shared" si="81"/>
        <v>0</v>
      </c>
    </row>
    <row r="100" spans="2:34" hidden="1" outlineLevel="2" x14ac:dyDescent="0.25">
      <c r="B100" s="28"/>
      <c r="F100" s="3" t="s">
        <v>28</v>
      </c>
      <c r="H100" s="31"/>
      <c r="I100" s="31"/>
      <c r="J100" s="31"/>
      <c r="K100" s="31"/>
      <c r="L100" s="20">
        <f t="shared" si="76"/>
        <v>0</v>
      </c>
      <c r="M100" s="20"/>
      <c r="N100" s="20">
        <f t="shared" si="77"/>
        <v>0</v>
      </c>
      <c r="O100" s="20"/>
      <c r="P100" s="31">
        <f>'07 VO'!F45</f>
        <v>0</v>
      </c>
      <c r="Q100" s="31">
        <f>'07 VO'!BA45</f>
        <v>0</v>
      </c>
      <c r="R100" s="20">
        <f t="shared" si="78"/>
        <v>0</v>
      </c>
      <c r="S100" s="20"/>
      <c r="T100" s="20"/>
      <c r="U100" s="20"/>
      <c r="V100" s="20"/>
      <c r="W100" s="20"/>
      <c r="X100" s="20"/>
      <c r="Y100" s="20"/>
      <c r="Z100" s="20"/>
      <c r="AA100" s="20">
        <f t="shared" si="79"/>
        <v>0</v>
      </c>
      <c r="AB100" s="20"/>
      <c r="AC100" s="31"/>
      <c r="AD100" s="31"/>
      <c r="AE100" s="20">
        <f t="shared" si="80"/>
        <v>0</v>
      </c>
      <c r="AF100" s="20"/>
      <c r="AG100" s="20"/>
      <c r="AH100" s="20">
        <f t="shared" si="81"/>
        <v>0</v>
      </c>
    </row>
    <row r="101" spans="2:34" hidden="1" outlineLevel="2" x14ac:dyDescent="0.25">
      <c r="B101" s="28"/>
      <c r="F101" s="3" t="s">
        <v>29</v>
      </c>
      <c r="H101" s="31"/>
      <c r="I101" s="31"/>
      <c r="J101" s="31"/>
      <c r="K101" s="31"/>
      <c r="L101" s="20">
        <f t="shared" si="76"/>
        <v>0</v>
      </c>
      <c r="M101" s="20"/>
      <c r="N101" s="20">
        <f t="shared" si="77"/>
        <v>0</v>
      </c>
      <c r="O101" s="20"/>
      <c r="P101" s="31">
        <f>'07 VO'!F46</f>
        <v>0</v>
      </c>
      <c r="Q101" s="31">
        <f>'07 VO'!BA46</f>
        <v>0</v>
      </c>
      <c r="R101" s="20">
        <f t="shared" si="78"/>
        <v>0</v>
      </c>
      <c r="S101" s="20"/>
      <c r="T101" s="20"/>
      <c r="U101" s="20"/>
      <c r="V101" s="20"/>
      <c r="W101" s="20"/>
      <c r="X101" s="20"/>
      <c r="Y101" s="20"/>
      <c r="Z101" s="20"/>
      <c r="AA101" s="20">
        <f t="shared" si="79"/>
        <v>0</v>
      </c>
      <c r="AB101" s="20"/>
      <c r="AC101" s="31"/>
      <c r="AD101" s="31"/>
      <c r="AE101" s="20">
        <f t="shared" si="80"/>
        <v>0</v>
      </c>
      <c r="AF101" s="20"/>
      <c r="AG101" s="20"/>
      <c r="AH101" s="20">
        <f t="shared" si="81"/>
        <v>0</v>
      </c>
    </row>
    <row r="102" spans="2:34" hidden="1" outlineLevel="2" x14ac:dyDescent="0.25">
      <c r="B102" s="28"/>
      <c r="F102" s="18" t="s">
        <v>30</v>
      </c>
      <c r="G102" s="34"/>
      <c r="H102" s="21"/>
      <c r="I102" s="21"/>
      <c r="J102" s="21"/>
      <c r="K102" s="21"/>
      <c r="L102" s="21">
        <f t="shared" si="76"/>
        <v>0</v>
      </c>
      <c r="M102" s="20"/>
      <c r="N102" s="21">
        <f t="shared" si="77"/>
        <v>0</v>
      </c>
      <c r="O102" s="21"/>
      <c r="P102" s="21">
        <f>'07 VO'!F47</f>
        <v>0</v>
      </c>
      <c r="Q102" s="21">
        <f>'07 VO'!BA47</f>
        <v>0</v>
      </c>
      <c r="R102" s="21">
        <f t="shared" si="78"/>
        <v>0</v>
      </c>
      <c r="S102" s="20"/>
      <c r="T102" s="21"/>
      <c r="U102" s="21"/>
      <c r="V102" s="21"/>
      <c r="W102" s="21"/>
      <c r="X102" s="21"/>
      <c r="Y102" s="21"/>
      <c r="Z102" s="21"/>
      <c r="AA102" s="21">
        <f t="shared" si="79"/>
        <v>0</v>
      </c>
      <c r="AB102" s="20"/>
      <c r="AC102" s="21"/>
      <c r="AD102" s="21"/>
      <c r="AE102" s="21">
        <f t="shared" si="80"/>
        <v>0</v>
      </c>
      <c r="AF102" s="20"/>
      <c r="AG102" s="21"/>
      <c r="AH102" s="21">
        <f t="shared" si="81"/>
        <v>0</v>
      </c>
    </row>
    <row r="103" spans="2:34" s="19" customFormat="1" ht="15" collapsed="1" x14ac:dyDescent="0.25">
      <c r="B103" s="26">
        <v>7</v>
      </c>
      <c r="C103" s="22" t="s">
        <v>197</v>
      </c>
      <c r="D103" s="22"/>
      <c r="E103" s="22"/>
      <c r="F103" s="22" t="s">
        <v>31</v>
      </c>
      <c r="G103" s="22"/>
      <c r="H103" s="23">
        <f>SUM(H91:H102)</f>
        <v>0</v>
      </c>
      <c r="I103" s="23"/>
      <c r="J103" s="23"/>
      <c r="K103" s="23">
        <f>SUM(K91:K102)</f>
        <v>0</v>
      </c>
      <c r="L103" s="23">
        <f>SUM(L91:L102)</f>
        <v>0</v>
      </c>
      <c r="M103" s="23"/>
      <c r="N103" s="23">
        <f>SUM(N91:N102)</f>
        <v>444884.9</v>
      </c>
      <c r="O103" s="23"/>
      <c r="P103" s="23"/>
      <c r="Q103" s="23">
        <f>SUM(Q91:Q102)</f>
        <v>797458.06299999997</v>
      </c>
      <c r="R103" s="23">
        <f>SUM(R91:R102)</f>
        <v>964924.25622999994</v>
      </c>
      <c r="S103" s="23"/>
      <c r="T103" s="23">
        <f>SUM(T91:T102)</f>
        <v>0</v>
      </c>
      <c r="U103" s="23">
        <f>SUM(U91:U102)</f>
        <v>0</v>
      </c>
      <c r="V103" s="23"/>
      <c r="W103" s="23"/>
      <c r="X103" s="23"/>
      <c r="Y103" s="23"/>
      <c r="Z103" s="23">
        <f>SUM(Z91:Z102)</f>
        <v>0</v>
      </c>
      <c r="AA103" s="23">
        <f>SUM(AA91:AA102)</f>
        <v>0</v>
      </c>
      <c r="AB103" s="23"/>
      <c r="AC103" s="23">
        <f>SUM(AC91:AC102)</f>
        <v>0</v>
      </c>
      <c r="AD103" s="23">
        <f t="shared" ref="AD103" si="82">SUM(AD91:AD102)</f>
        <v>0</v>
      </c>
      <c r="AE103" s="23">
        <f t="shared" ref="AE103" si="83">SUM(AE91:AE102)</f>
        <v>0</v>
      </c>
      <c r="AF103" s="23"/>
      <c r="AG103" s="23">
        <f t="shared" ref="AG103" si="84">SUM(AG91:AG102)</f>
        <v>0</v>
      </c>
      <c r="AH103" s="23">
        <f t="shared" ref="AH103" si="85">SUM(AH91:AH102)</f>
        <v>0</v>
      </c>
    </row>
    <row r="104" spans="2:34" s="19" customFormat="1" ht="5.25" hidden="1" customHeight="1" outlineLevel="1" x14ac:dyDescent="0.25">
      <c r="B104" s="27"/>
      <c r="C104" s="24"/>
      <c r="D104" s="24"/>
      <c r="E104" s="24"/>
      <c r="F104" s="24"/>
      <c r="G104" s="24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</row>
    <row r="105" spans="2:34" hidden="1" outlineLevel="2" x14ac:dyDescent="0.25">
      <c r="B105" s="28"/>
      <c r="F105" s="3" t="s">
        <v>19</v>
      </c>
      <c r="H105" s="31" t="e">
        <f>SUM(I105:J105)</f>
        <v>#REF!</v>
      </c>
      <c r="I105" s="31" t="e">
        <f>#REF!</f>
        <v>#REF!</v>
      </c>
      <c r="J105" s="31"/>
      <c r="K105" s="31" t="e">
        <f>#REF!</f>
        <v>#REF!</v>
      </c>
      <c r="L105" s="20" t="e">
        <f>K105*(1+L$5)</f>
        <v>#REF!</v>
      </c>
      <c r="M105" s="20"/>
      <c r="N105" s="20" t="e">
        <f>SUM(O105:P105)</f>
        <v>#REF!</v>
      </c>
      <c r="O105" s="20"/>
      <c r="P105" s="31" t="e">
        <f>#REF!</f>
        <v>#REF!</v>
      </c>
      <c r="Q105" s="31" t="e">
        <f>#REF!</f>
        <v>#REF!</v>
      </c>
      <c r="R105" s="20" t="e">
        <f>Q105*(1+R$5)</f>
        <v>#REF!</v>
      </c>
      <c r="S105" s="20"/>
      <c r="T105" s="20">
        <f>SUM(V105,X105)</f>
        <v>0</v>
      </c>
      <c r="U105" s="20">
        <f>SUM(W105,Y105)</f>
        <v>0</v>
      </c>
      <c r="V105" s="20"/>
      <c r="W105" s="20"/>
      <c r="X105" s="31"/>
      <c r="Y105" s="31"/>
      <c r="Z105" s="31"/>
      <c r="AA105" s="20">
        <f>Z105*(1+AA$5)</f>
        <v>0</v>
      </c>
      <c r="AB105" s="20"/>
      <c r="AC105" s="31" t="e">
        <f>#REF!</f>
        <v>#REF!</v>
      </c>
      <c r="AD105" s="31" t="e">
        <f>#REF!</f>
        <v>#REF!</v>
      </c>
      <c r="AE105" s="20" t="e">
        <f>AD105*(1+AE$5)</f>
        <v>#REF!</v>
      </c>
      <c r="AF105" s="20"/>
      <c r="AG105" s="20"/>
      <c r="AH105" s="20">
        <f>AG105*(1+AH$5)</f>
        <v>0</v>
      </c>
    </row>
    <row r="106" spans="2:34" hidden="1" outlineLevel="2" x14ac:dyDescent="0.25">
      <c r="B106" s="28"/>
      <c r="F106" s="3" t="s">
        <v>20</v>
      </c>
      <c r="H106" s="31" t="e">
        <f t="shared" ref="H106:H116" si="86">SUM(I106:J106)</f>
        <v>#REF!</v>
      </c>
      <c r="I106" s="31" t="e">
        <f>#REF!</f>
        <v>#REF!</v>
      </c>
      <c r="J106" s="31"/>
      <c r="K106" s="31" t="e">
        <f>#REF!</f>
        <v>#REF!</v>
      </c>
      <c r="L106" s="20" t="e">
        <f t="shared" ref="L106:L116" si="87">K106*(1+L$5)</f>
        <v>#REF!</v>
      </c>
      <c r="M106" s="20"/>
      <c r="N106" s="20" t="e">
        <f t="shared" ref="N106:N116" si="88">SUM(O106:P106)</f>
        <v>#REF!</v>
      </c>
      <c r="O106" s="20"/>
      <c r="P106" s="31" t="e">
        <f>#REF!</f>
        <v>#REF!</v>
      </c>
      <c r="Q106" s="31" t="e">
        <f>#REF!</f>
        <v>#REF!</v>
      </c>
      <c r="R106" s="20" t="e">
        <f t="shared" ref="R106:R116" si="89">Q106*(1+R$5)</f>
        <v>#REF!</v>
      </c>
      <c r="S106" s="20"/>
      <c r="T106" s="20">
        <f t="shared" ref="T106:T116" si="90">SUM(V106,X106)</f>
        <v>0</v>
      </c>
      <c r="U106" s="20">
        <f t="shared" ref="U106:U116" si="91">SUM(W106,Y106)</f>
        <v>0</v>
      </c>
      <c r="V106" s="20"/>
      <c r="W106" s="20"/>
      <c r="X106" s="31"/>
      <c r="Y106" s="31"/>
      <c r="Z106" s="31"/>
      <c r="AA106" s="20">
        <f t="shared" ref="AA106:AA116" si="92">Z106*(1+AA$5)</f>
        <v>0</v>
      </c>
      <c r="AB106" s="20"/>
      <c r="AC106" s="31" t="e">
        <f>#REF!</f>
        <v>#REF!</v>
      </c>
      <c r="AD106" s="31" t="e">
        <f>#REF!</f>
        <v>#REF!</v>
      </c>
      <c r="AE106" s="20" t="e">
        <f t="shared" ref="AE106:AE116" si="93">AD106*(1+AE$5)</f>
        <v>#REF!</v>
      </c>
      <c r="AF106" s="20"/>
      <c r="AG106" s="20"/>
      <c r="AH106" s="20">
        <f t="shared" ref="AH106:AH116" si="94">AG106*(1+AH$5)</f>
        <v>0</v>
      </c>
    </row>
    <row r="107" spans="2:34" hidden="1" outlineLevel="2" x14ac:dyDescent="0.25">
      <c r="B107" s="28"/>
      <c r="F107" s="3" t="s">
        <v>21</v>
      </c>
      <c r="H107" s="31" t="e">
        <f t="shared" si="86"/>
        <v>#REF!</v>
      </c>
      <c r="I107" s="31" t="e">
        <f>#REF!</f>
        <v>#REF!</v>
      </c>
      <c r="J107" s="31"/>
      <c r="K107" s="31" t="e">
        <f>#REF!</f>
        <v>#REF!</v>
      </c>
      <c r="L107" s="20" t="e">
        <f t="shared" si="87"/>
        <v>#REF!</v>
      </c>
      <c r="M107" s="20"/>
      <c r="N107" s="20" t="e">
        <f t="shared" si="88"/>
        <v>#REF!</v>
      </c>
      <c r="O107" s="20"/>
      <c r="P107" s="31" t="e">
        <f>#REF!</f>
        <v>#REF!</v>
      </c>
      <c r="Q107" s="31" t="e">
        <f>#REF!</f>
        <v>#REF!</v>
      </c>
      <c r="R107" s="20" t="e">
        <f t="shared" si="89"/>
        <v>#REF!</v>
      </c>
      <c r="S107" s="20"/>
      <c r="T107" s="20">
        <f t="shared" si="90"/>
        <v>0</v>
      </c>
      <c r="U107" s="20">
        <f t="shared" si="91"/>
        <v>0</v>
      </c>
      <c r="V107" s="20"/>
      <c r="W107" s="20"/>
      <c r="X107" s="31"/>
      <c r="Y107" s="31"/>
      <c r="Z107" s="31"/>
      <c r="AA107" s="20">
        <f t="shared" si="92"/>
        <v>0</v>
      </c>
      <c r="AB107" s="20"/>
      <c r="AC107" s="31" t="e">
        <f>#REF!</f>
        <v>#REF!</v>
      </c>
      <c r="AD107" s="31" t="e">
        <f>#REF!</f>
        <v>#REF!</v>
      </c>
      <c r="AE107" s="20" t="e">
        <f t="shared" si="93"/>
        <v>#REF!</v>
      </c>
      <c r="AF107" s="20"/>
      <c r="AG107" s="20"/>
      <c r="AH107" s="20">
        <f t="shared" si="94"/>
        <v>0</v>
      </c>
    </row>
    <row r="108" spans="2:34" hidden="1" outlineLevel="2" x14ac:dyDescent="0.25">
      <c r="B108" s="28"/>
      <c r="F108" s="3" t="s">
        <v>22</v>
      </c>
      <c r="H108" s="31" t="e">
        <f t="shared" si="86"/>
        <v>#REF!</v>
      </c>
      <c r="I108" s="31" t="e">
        <f>#REF!</f>
        <v>#REF!</v>
      </c>
      <c r="J108" s="31"/>
      <c r="K108" s="31" t="e">
        <f>#REF!</f>
        <v>#REF!</v>
      </c>
      <c r="L108" s="20" t="e">
        <f t="shared" si="87"/>
        <v>#REF!</v>
      </c>
      <c r="M108" s="20"/>
      <c r="N108" s="20" t="e">
        <f t="shared" si="88"/>
        <v>#REF!</v>
      </c>
      <c r="O108" s="20"/>
      <c r="P108" s="31" t="e">
        <f>#REF!</f>
        <v>#REF!</v>
      </c>
      <c r="Q108" s="31" t="e">
        <f>#REF!</f>
        <v>#REF!</v>
      </c>
      <c r="R108" s="20" t="e">
        <f t="shared" si="89"/>
        <v>#REF!</v>
      </c>
      <c r="S108" s="20"/>
      <c r="T108" s="20">
        <f t="shared" si="90"/>
        <v>0</v>
      </c>
      <c r="U108" s="20">
        <f t="shared" si="91"/>
        <v>0</v>
      </c>
      <c r="V108" s="20"/>
      <c r="W108" s="20"/>
      <c r="X108" s="31"/>
      <c r="Y108" s="31"/>
      <c r="Z108" s="31"/>
      <c r="AA108" s="20">
        <f t="shared" si="92"/>
        <v>0</v>
      </c>
      <c r="AB108" s="20"/>
      <c r="AC108" s="31" t="e">
        <f>#REF!</f>
        <v>#REF!</v>
      </c>
      <c r="AD108" s="31" t="e">
        <f>#REF!</f>
        <v>#REF!</v>
      </c>
      <c r="AE108" s="20" t="e">
        <f t="shared" si="93"/>
        <v>#REF!</v>
      </c>
      <c r="AF108" s="20"/>
      <c r="AG108" s="20"/>
      <c r="AH108" s="20">
        <f t="shared" si="94"/>
        <v>0</v>
      </c>
    </row>
    <row r="109" spans="2:34" hidden="1" outlineLevel="2" x14ac:dyDescent="0.25">
      <c r="B109" s="28"/>
      <c r="F109" s="3" t="s">
        <v>23</v>
      </c>
      <c r="H109" s="31" t="e">
        <f t="shared" si="86"/>
        <v>#REF!</v>
      </c>
      <c r="I109" s="31" t="e">
        <f>#REF!</f>
        <v>#REF!</v>
      </c>
      <c r="J109" s="31"/>
      <c r="K109" s="31" t="e">
        <f>#REF!</f>
        <v>#REF!</v>
      </c>
      <c r="L109" s="20" t="e">
        <f t="shared" si="87"/>
        <v>#REF!</v>
      </c>
      <c r="M109" s="20"/>
      <c r="N109" s="20" t="e">
        <f t="shared" si="88"/>
        <v>#REF!</v>
      </c>
      <c r="O109" s="20"/>
      <c r="P109" s="31" t="e">
        <f>#REF!</f>
        <v>#REF!</v>
      </c>
      <c r="Q109" s="31" t="e">
        <f>#REF!</f>
        <v>#REF!</v>
      </c>
      <c r="R109" s="20" t="e">
        <f t="shared" si="89"/>
        <v>#REF!</v>
      </c>
      <c r="S109" s="20"/>
      <c r="T109" s="20">
        <f t="shared" si="90"/>
        <v>0</v>
      </c>
      <c r="U109" s="20">
        <f t="shared" si="91"/>
        <v>0</v>
      </c>
      <c r="V109" s="20"/>
      <c r="W109" s="20"/>
      <c r="X109" s="31"/>
      <c r="Y109" s="31"/>
      <c r="Z109" s="31"/>
      <c r="AA109" s="20">
        <f t="shared" si="92"/>
        <v>0</v>
      </c>
      <c r="AB109" s="20"/>
      <c r="AC109" s="31" t="e">
        <f>#REF!</f>
        <v>#REF!</v>
      </c>
      <c r="AD109" s="31" t="e">
        <f>#REF!</f>
        <v>#REF!</v>
      </c>
      <c r="AE109" s="20" t="e">
        <f t="shared" si="93"/>
        <v>#REF!</v>
      </c>
      <c r="AF109" s="20"/>
      <c r="AG109" s="20"/>
      <c r="AH109" s="20">
        <f t="shared" si="94"/>
        <v>0</v>
      </c>
    </row>
    <row r="110" spans="2:34" hidden="1" outlineLevel="2" x14ac:dyDescent="0.25">
      <c r="B110" s="28"/>
      <c r="F110" s="3" t="s">
        <v>24</v>
      </c>
      <c r="H110" s="31" t="e">
        <f t="shared" si="86"/>
        <v>#REF!</v>
      </c>
      <c r="I110" s="31" t="e">
        <f>#REF!</f>
        <v>#REF!</v>
      </c>
      <c r="J110" s="31"/>
      <c r="K110" s="31" t="e">
        <f>#REF!</f>
        <v>#REF!</v>
      </c>
      <c r="L110" s="20" t="e">
        <f t="shared" si="87"/>
        <v>#REF!</v>
      </c>
      <c r="M110" s="20"/>
      <c r="N110" s="20" t="e">
        <f t="shared" si="88"/>
        <v>#REF!</v>
      </c>
      <c r="O110" s="20"/>
      <c r="P110" s="31" t="e">
        <f>#REF!</f>
        <v>#REF!</v>
      </c>
      <c r="Q110" s="31" t="e">
        <f>#REF!</f>
        <v>#REF!</v>
      </c>
      <c r="R110" s="20" t="e">
        <f t="shared" si="89"/>
        <v>#REF!</v>
      </c>
      <c r="S110" s="20"/>
      <c r="T110" s="20">
        <f t="shared" si="90"/>
        <v>0</v>
      </c>
      <c r="U110" s="20">
        <f t="shared" si="91"/>
        <v>0</v>
      </c>
      <c r="V110" s="20"/>
      <c r="W110" s="20"/>
      <c r="X110" s="31"/>
      <c r="Y110" s="31"/>
      <c r="Z110" s="31"/>
      <c r="AA110" s="20">
        <f t="shared" si="92"/>
        <v>0</v>
      </c>
      <c r="AB110" s="20"/>
      <c r="AC110" s="31" t="e">
        <f>#REF!</f>
        <v>#REF!</v>
      </c>
      <c r="AD110" s="31" t="e">
        <f>#REF!</f>
        <v>#REF!</v>
      </c>
      <c r="AE110" s="20" t="e">
        <f t="shared" si="93"/>
        <v>#REF!</v>
      </c>
      <c r="AF110" s="20"/>
      <c r="AG110" s="20"/>
      <c r="AH110" s="20">
        <f t="shared" si="94"/>
        <v>0</v>
      </c>
    </row>
    <row r="111" spans="2:34" hidden="1" outlineLevel="2" x14ac:dyDescent="0.25">
      <c r="B111" s="28"/>
      <c r="F111" s="3" t="s">
        <v>25</v>
      </c>
      <c r="H111" s="31" t="e">
        <f t="shared" si="86"/>
        <v>#REF!</v>
      </c>
      <c r="I111" s="31" t="e">
        <f>#REF!</f>
        <v>#REF!</v>
      </c>
      <c r="J111" s="31"/>
      <c r="K111" s="31" t="e">
        <f>#REF!</f>
        <v>#REF!</v>
      </c>
      <c r="L111" s="20" t="e">
        <f t="shared" si="87"/>
        <v>#REF!</v>
      </c>
      <c r="M111" s="20"/>
      <c r="N111" s="20" t="e">
        <f t="shared" si="88"/>
        <v>#REF!</v>
      </c>
      <c r="O111" s="20"/>
      <c r="P111" s="31" t="e">
        <f>#REF!</f>
        <v>#REF!</v>
      </c>
      <c r="Q111" s="31" t="e">
        <f>#REF!</f>
        <v>#REF!</v>
      </c>
      <c r="R111" s="20" t="e">
        <f t="shared" si="89"/>
        <v>#REF!</v>
      </c>
      <c r="S111" s="20"/>
      <c r="T111" s="20">
        <f t="shared" si="90"/>
        <v>0</v>
      </c>
      <c r="U111" s="20">
        <f t="shared" si="91"/>
        <v>0</v>
      </c>
      <c r="V111" s="20"/>
      <c r="W111" s="20"/>
      <c r="X111" s="31"/>
      <c r="Y111" s="31"/>
      <c r="Z111" s="31"/>
      <c r="AA111" s="20">
        <f t="shared" si="92"/>
        <v>0</v>
      </c>
      <c r="AB111" s="20"/>
      <c r="AC111" s="31" t="e">
        <f>#REF!</f>
        <v>#REF!</v>
      </c>
      <c r="AD111" s="31" t="e">
        <f>#REF!</f>
        <v>#REF!</v>
      </c>
      <c r="AE111" s="20" t="e">
        <f t="shared" si="93"/>
        <v>#REF!</v>
      </c>
      <c r="AF111" s="20"/>
      <c r="AG111" s="20"/>
      <c r="AH111" s="20">
        <f t="shared" si="94"/>
        <v>0</v>
      </c>
    </row>
    <row r="112" spans="2:34" hidden="1" outlineLevel="2" x14ac:dyDescent="0.25">
      <c r="B112" s="28"/>
      <c r="F112" s="3" t="s">
        <v>26</v>
      </c>
      <c r="H112" s="31" t="e">
        <f t="shared" si="86"/>
        <v>#REF!</v>
      </c>
      <c r="I112" s="31" t="e">
        <f>#REF!</f>
        <v>#REF!</v>
      </c>
      <c r="J112" s="31"/>
      <c r="K112" s="31" t="e">
        <f>#REF!</f>
        <v>#REF!</v>
      </c>
      <c r="L112" s="20" t="e">
        <f t="shared" si="87"/>
        <v>#REF!</v>
      </c>
      <c r="M112" s="20"/>
      <c r="N112" s="20" t="e">
        <f t="shared" si="88"/>
        <v>#REF!</v>
      </c>
      <c r="O112" s="20"/>
      <c r="P112" s="31" t="e">
        <f>#REF!</f>
        <v>#REF!</v>
      </c>
      <c r="Q112" s="31" t="e">
        <f>#REF!</f>
        <v>#REF!</v>
      </c>
      <c r="R112" s="20" t="e">
        <f t="shared" si="89"/>
        <v>#REF!</v>
      </c>
      <c r="S112" s="20"/>
      <c r="T112" s="20">
        <f t="shared" si="90"/>
        <v>0</v>
      </c>
      <c r="U112" s="20">
        <f t="shared" si="91"/>
        <v>0</v>
      </c>
      <c r="V112" s="20"/>
      <c r="W112" s="20"/>
      <c r="X112" s="31"/>
      <c r="Y112" s="31"/>
      <c r="Z112" s="31"/>
      <c r="AA112" s="20">
        <f t="shared" si="92"/>
        <v>0</v>
      </c>
      <c r="AB112" s="20"/>
      <c r="AC112" s="31" t="e">
        <f>#REF!</f>
        <v>#REF!</v>
      </c>
      <c r="AD112" s="31" t="e">
        <f>#REF!</f>
        <v>#REF!</v>
      </c>
      <c r="AE112" s="20" t="e">
        <f t="shared" si="93"/>
        <v>#REF!</v>
      </c>
      <c r="AF112" s="20"/>
      <c r="AG112" s="20"/>
      <c r="AH112" s="20">
        <f t="shared" si="94"/>
        <v>0</v>
      </c>
    </row>
    <row r="113" spans="2:34" hidden="1" outlineLevel="2" x14ac:dyDescent="0.25">
      <c r="B113" s="28"/>
      <c r="F113" s="3" t="s">
        <v>27</v>
      </c>
      <c r="H113" s="31" t="e">
        <f t="shared" si="86"/>
        <v>#REF!</v>
      </c>
      <c r="I113" s="31" t="e">
        <f>#REF!</f>
        <v>#REF!</v>
      </c>
      <c r="J113" s="31"/>
      <c r="K113" s="31" t="e">
        <f>#REF!</f>
        <v>#REF!</v>
      </c>
      <c r="L113" s="20" t="e">
        <f t="shared" si="87"/>
        <v>#REF!</v>
      </c>
      <c r="M113" s="20"/>
      <c r="N113" s="20" t="e">
        <f t="shared" si="88"/>
        <v>#REF!</v>
      </c>
      <c r="O113" s="20"/>
      <c r="P113" s="31" t="e">
        <f>#REF!</f>
        <v>#REF!</v>
      </c>
      <c r="Q113" s="31" t="e">
        <f>#REF!</f>
        <v>#REF!</v>
      </c>
      <c r="R113" s="20" t="e">
        <f t="shared" si="89"/>
        <v>#REF!</v>
      </c>
      <c r="S113" s="20"/>
      <c r="T113" s="20">
        <f t="shared" si="90"/>
        <v>0</v>
      </c>
      <c r="U113" s="20">
        <f t="shared" si="91"/>
        <v>0</v>
      </c>
      <c r="V113" s="20"/>
      <c r="W113" s="20"/>
      <c r="X113" s="31"/>
      <c r="Y113" s="31"/>
      <c r="Z113" s="31"/>
      <c r="AA113" s="20">
        <f t="shared" si="92"/>
        <v>0</v>
      </c>
      <c r="AB113" s="20"/>
      <c r="AC113" s="31" t="e">
        <f>#REF!</f>
        <v>#REF!</v>
      </c>
      <c r="AD113" s="31" t="e">
        <f>#REF!</f>
        <v>#REF!</v>
      </c>
      <c r="AE113" s="20" t="e">
        <f t="shared" si="93"/>
        <v>#REF!</v>
      </c>
      <c r="AF113" s="20"/>
      <c r="AG113" s="20"/>
      <c r="AH113" s="20">
        <f t="shared" si="94"/>
        <v>0</v>
      </c>
    </row>
    <row r="114" spans="2:34" hidden="1" outlineLevel="2" x14ac:dyDescent="0.25">
      <c r="B114" s="28"/>
      <c r="F114" s="3" t="s">
        <v>28</v>
      </c>
      <c r="H114" s="31" t="e">
        <f t="shared" si="86"/>
        <v>#REF!</v>
      </c>
      <c r="I114" s="31" t="e">
        <f>#REF!</f>
        <v>#REF!</v>
      </c>
      <c r="J114" s="31"/>
      <c r="K114" s="31" t="e">
        <f>#REF!</f>
        <v>#REF!</v>
      </c>
      <c r="L114" s="20" t="e">
        <f t="shared" si="87"/>
        <v>#REF!</v>
      </c>
      <c r="M114" s="20"/>
      <c r="N114" s="20" t="e">
        <f t="shared" si="88"/>
        <v>#REF!</v>
      </c>
      <c r="O114" s="20"/>
      <c r="P114" s="31" t="e">
        <f>#REF!</f>
        <v>#REF!</v>
      </c>
      <c r="Q114" s="31" t="e">
        <f>#REF!</f>
        <v>#REF!</v>
      </c>
      <c r="R114" s="20" t="e">
        <f t="shared" si="89"/>
        <v>#REF!</v>
      </c>
      <c r="S114" s="20"/>
      <c r="T114" s="20">
        <f t="shared" si="90"/>
        <v>0</v>
      </c>
      <c r="U114" s="20">
        <f t="shared" si="91"/>
        <v>0</v>
      </c>
      <c r="V114" s="20"/>
      <c r="W114" s="20"/>
      <c r="X114" s="31"/>
      <c r="Y114" s="31"/>
      <c r="Z114" s="31"/>
      <c r="AA114" s="20">
        <f t="shared" si="92"/>
        <v>0</v>
      </c>
      <c r="AB114" s="20"/>
      <c r="AC114" s="31" t="e">
        <f>#REF!</f>
        <v>#REF!</v>
      </c>
      <c r="AD114" s="31" t="e">
        <f>#REF!</f>
        <v>#REF!</v>
      </c>
      <c r="AE114" s="20" t="e">
        <f t="shared" si="93"/>
        <v>#REF!</v>
      </c>
      <c r="AF114" s="20"/>
      <c r="AG114" s="20"/>
      <c r="AH114" s="20">
        <f t="shared" si="94"/>
        <v>0</v>
      </c>
    </row>
    <row r="115" spans="2:34" hidden="1" outlineLevel="2" x14ac:dyDescent="0.25">
      <c r="B115" s="28"/>
      <c r="F115" s="3" t="s">
        <v>29</v>
      </c>
      <c r="H115" s="31" t="e">
        <f t="shared" si="86"/>
        <v>#REF!</v>
      </c>
      <c r="I115" s="31" t="e">
        <f>#REF!</f>
        <v>#REF!</v>
      </c>
      <c r="J115" s="31"/>
      <c r="K115" s="31" t="e">
        <f>#REF!</f>
        <v>#REF!</v>
      </c>
      <c r="L115" s="20" t="e">
        <f t="shared" si="87"/>
        <v>#REF!</v>
      </c>
      <c r="M115" s="20"/>
      <c r="N115" s="20" t="e">
        <f t="shared" si="88"/>
        <v>#REF!</v>
      </c>
      <c r="O115" s="20"/>
      <c r="P115" s="31" t="e">
        <f>#REF!</f>
        <v>#REF!</v>
      </c>
      <c r="Q115" s="31" t="e">
        <f>#REF!</f>
        <v>#REF!</v>
      </c>
      <c r="R115" s="20" t="e">
        <f t="shared" si="89"/>
        <v>#REF!</v>
      </c>
      <c r="S115" s="20"/>
      <c r="T115" s="20">
        <f t="shared" si="90"/>
        <v>0</v>
      </c>
      <c r="U115" s="20">
        <f t="shared" si="91"/>
        <v>0</v>
      </c>
      <c r="V115" s="20"/>
      <c r="W115" s="20"/>
      <c r="X115" s="31"/>
      <c r="Y115" s="31"/>
      <c r="Z115" s="31"/>
      <c r="AA115" s="20">
        <f t="shared" si="92"/>
        <v>0</v>
      </c>
      <c r="AB115" s="20"/>
      <c r="AC115" s="31" t="e">
        <f>#REF!</f>
        <v>#REF!</v>
      </c>
      <c r="AD115" s="31" t="e">
        <f>#REF!</f>
        <v>#REF!</v>
      </c>
      <c r="AE115" s="20" t="e">
        <f t="shared" si="93"/>
        <v>#REF!</v>
      </c>
      <c r="AF115" s="20"/>
      <c r="AG115" s="20"/>
      <c r="AH115" s="20">
        <f t="shared" si="94"/>
        <v>0</v>
      </c>
    </row>
    <row r="116" spans="2:34" hidden="1" outlineLevel="2" x14ac:dyDescent="0.25">
      <c r="B116" s="28"/>
      <c r="F116" s="18" t="s">
        <v>30</v>
      </c>
      <c r="G116" s="34"/>
      <c r="H116" s="21" t="e">
        <f t="shared" si="86"/>
        <v>#REF!</v>
      </c>
      <c r="I116" s="21" t="e">
        <f>#REF!</f>
        <v>#REF!</v>
      </c>
      <c r="J116" s="21"/>
      <c r="K116" s="21" t="e">
        <f>#REF!</f>
        <v>#REF!</v>
      </c>
      <c r="L116" s="21" t="e">
        <f t="shared" si="87"/>
        <v>#REF!</v>
      </c>
      <c r="M116" s="20"/>
      <c r="N116" s="21" t="e">
        <f t="shared" si="88"/>
        <v>#REF!</v>
      </c>
      <c r="O116" s="21"/>
      <c r="P116" s="21" t="e">
        <f>#REF!</f>
        <v>#REF!</v>
      </c>
      <c r="Q116" s="21" t="e">
        <f>#REF!</f>
        <v>#REF!</v>
      </c>
      <c r="R116" s="21" t="e">
        <f t="shared" si="89"/>
        <v>#REF!</v>
      </c>
      <c r="S116" s="20"/>
      <c r="T116" s="21">
        <f t="shared" si="90"/>
        <v>0</v>
      </c>
      <c r="U116" s="21">
        <f t="shared" si="91"/>
        <v>0</v>
      </c>
      <c r="V116" s="21"/>
      <c r="W116" s="21"/>
      <c r="X116" s="21"/>
      <c r="Y116" s="21"/>
      <c r="Z116" s="21"/>
      <c r="AA116" s="21">
        <f t="shared" si="92"/>
        <v>0</v>
      </c>
      <c r="AB116" s="20"/>
      <c r="AC116" s="21" t="e">
        <f>#REF!</f>
        <v>#REF!</v>
      </c>
      <c r="AD116" s="21" t="e">
        <f>#REF!</f>
        <v>#REF!</v>
      </c>
      <c r="AE116" s="21" t="e">
        <f t="shared" si="93"/>
        <v>#REF!</v>
      </c>
      <c r="AF116" s="20"/>
      <c r="AG116" s="21"/>
      <c r="AH116" s="21">
        <f t="shared" si="94"/>
        <v>0</v>
      </c>
    </row>
    <row r="117" spans="2:34" ht="5.25" customHeight="1" collapsed="1" x14ac:dyDescent="0.25"/>
    <row r="118" spans="2:34" hidden="1" outlineLevel="1" x14ac:dyDescent="0.25"/>
    <row r="119" spans="2:34" ht="15" hidden="1" outlineLevel="1" x14ac:dyDescent="0.25">
      <c r="F119" s="94" t="s">
        <v>3</v>
      </c>
      <c r="G119" s="24"/>
      <c r="H119" s="92">
        <f>SUM(H19,H33,H47,H61,H75,H89,H103)</f>
        <v>2199.6</v>
      </c>
      <c r="I119" s="23"/>
      <c r="J119" s="23"/>
      <c r="K119" s="23">
        <f>SUM(K19,K33,K47,K61,K75,K89,K103)</f>
        <v>1016589.1299999999</v>
      </c>
      <c r="L119" s="23">
        <f>SUM(L19,L33,L47,L61,L75,L89,L103)</f>
        <v>1169077.4994999999</v>
      </c>
      <c r="M119" s="25" t="e">
        <f>SUM(M19,M33,M47,M61,M75,M89,M103,#REF!,#REF!,#REF!,#REF!,#REF!,#REF!)</f>
        <v>#REF!</v>
      </c>
      <c r="N119" s="92">
        <f>SUM(N19,N33,N47,N61,N75,N89)</f>
        <v>159333.6</v>
      </c>
      <c r="O119" s="23"/>
      <c r="P119" s="23"/>
      <c r="Q119" s="23">
        <f>SUM(Q19,Q33,Q47,Q61,Q75,Q89)</f>
        <v>505091.69000000006</v>
      </c>
      <c r="R119" s="23">
        <f>SUM(R19,R33,R47,R61,R75,R89)</f>
        <v>611160.9449</v>
      </c>
      <c r="S119" s="25" t="e">
        <f>SUM(S19,S33,S47,S61,S75,S89,S103,#REF!,#REF!,#REF!,#REF!,#REF!,#REF!)</f>
        <v>#REF!</v>
      </c>
      <c r="T119" s="92">
        <f t="shared" ref="T119:U119" si="95">SUM(T19,T33,T47,T61,T75,T89)</f>
        <v>536503.71</v>
      </c>
      <c r="U119" s="92">
        <f t="shared" si="95"/>
        <v>50258.670955766211</v>
      </c>
      <c r="V119" s="23"/>
      <c r="W119" s="23"/>
      <c r="X119" s="23"/>
      <c r="Y119" s="23"/>
      <c r="Z119" s="23">
        <f t="shared" ref="Z119:AA119" si="96">SUM(Z19,Z33,Z47,Z61,Z75,Z89)</f>
        <v>563952.19927730667</v>
      </c>
      <c r="AA119" s="23">
        <f t="shared" si="96"/>
        <v>682382.16112554108</v>
      </c>
      <c r="AB119" s="25" t="e">
        <f>SUM(AB19,AB33,AB47,AB61,AB75,AB89,AB103,#REF!,#REF!,#REF!,#REF!,#REF!,#REF!)</f>
        <v>#REF!</v>
      </c>
      <c r="AC119" s="92">
        <f>SUM(AC19,AC33,AC47,AC61,AC75,AC89)</f>
        <v>2413</v>
      </c>
      <c r="AD119" s="23">
        <f>SUM(AD19,AD33,AD47,AD61,AD75,AD89)</f>
        <v>204954.74</v>
      </c>
      <c r="AE119" s="23">
        <f>SUM(AE19,AE33,AE47,AE61,AE75,AE89)</f>
        <v>235697.951</v>
      </c>
      <c r="AF119" s="25" t="e">
        <f>SUM(AF19,AF33,AF47,AF61,AF75,AF89,AF103,#REF!,#REF!,#REF!,#REF!,#REF!,#REF!)</f>
        <v>#REF!</v>
      </c>
      <c r="AG119" s="92">
        <f>SUM(AG19,AG33,AG47,AG61,AG75,AG89)</f>
        <v>0</v>
      </c>
      <c r="AH119" s="23">
        <f>SUM(AH19,AH33,AH47,AH61,AH75,AH89)</f>
        <v>0</v>
      </c>
    </row>
    <row r="120" spans="2:34" s="93" customFormat="1" hidden="1" outlineLevel="1" x14ac:dyDescent="0.25">
      <c r="H120" s="317" t="str">
        <f>H4</f>
        <v>GJ</v>
      </c>
      <c r="K120" s="93" t="s">
        <v>8</v>
      </c>
      <c r="L120" s="93" t="s">
        <v>38</v>
      </c>
      <c r="N120" s="317" t="str">
        <f>N4</f>
        <v>kWh</v>
      </c>
      <c r="Q120" s="93" t="s">
        <v>8</v>
      </c>
      <c r="R120" s="93" t="s">
        <v>38</v>
      </c>
      <c r="T120" s="317" t="str">
        <f>T4</f>
        <v>kWh</v>
      </c>
      <c r="U120" s="93" t="s">
        <v>39</v>
      </c>
      <c r="Z120" s="93" t="s">
        <v>8</v>
      </c>
      <c r="AA120" s="93" t="s">
        <v>38</v>
      </c>
      <c r="AC120" s="93" t="s">
        <v>39</v>
      </c>
      <c r="AD120" s="93" t="s">
        <v>8</v>
      </c>
      <c r="AE120" s="93" t="s">
        <v>38</v>
      </c>
      <c r="AG120" s="93" t="s">
        <v>8</v>
      </c>
      <c r="AH120" s="93" t="s">
        <v>38</v>
      </c>
    </row>
    <row r="121" spans="2:34" ht="15" collapsed="1" x14ac:dyDescent="0.25">
      <c r="B121" s="22" t="s">
        <v>37</v>
      </c>
      <c r="C121" s="22"/>
      <c r="D121" s="22"/>
      <c r="E121" s="22"/>
      <c r="F121" s="95" t="s">
        <v>141</v>
      </c>
      <c r="G121" s="18"/>
      <c r="H121" s="18"/>
      <c r="I121" s="18"/>
      <c r="J121" s="18"/>
      <c r="K121" s="23">
        <f>SUM(K119,Q119,Z119,AD119,AG119)</f>
        <v>2290587.7592773065</v>
      </c>
      <c r="L121" s="18" t="s">
        <v>8</v>
      </c>
      <c r="M121" s="33"/>
      <c r="N121" s="33"/>
      <c r="O121" s="33"/>
      <c r="P121" s="33"/>
      <c r="Q121" s="23">
        <f>SUM(L119,R119,AA119,AE119,AH119)</f>
        <v>2698318.556525541</v>
      </c>
      <c r="R121" s="18" t="s">
        <v>38</v>
      </c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</row>
    <row r="123" spans="2:34" hidden="1" outlineLevel="1" x14ac:dyDescent="0.25"/>
    <row r="124" spans="2:34" ht="15" hidden="1" outlineLevel="1" x14ac:dyDescent="0.25">
      <c r="F124" s="94" t="s">
        <v>3</v>
      </c>
      <c r="G124" s="24"/>
      <c r="H124" s="92"/>
      <c r="I124" s="23"/>
      <c r="J124" s="23"/>
      <c r="K124" s="23"/>
      <c r="L124" s="23"/>
      <c r="M124" s="25" t="e">
        <f>SUM(M24,M38,M52,M66,M80,M94,M108,#REF!,#REF!,#REF!,#REF!,#REF!,#REF!)</f>
        <v>#REF!</v>
      </c>
      <c r="N124" s="92">
        <f>N103</f>
        <v>444884.9</v>
      </c>
      <c r="O124" s="23"/>
      <c r="P124" s="23"/>
      <c r="Q124" s="23">
        <f>Q103</f>
        <v>797458.06299999997</v>
      </c>
      <c r="R124" s="23">
        <f>R103</f>
        <v>964924.25622999994</v>
      </c>
      <c r="S124" s="25" t="e">
        <f>SUM(S24,S38,S52,S66,S80,S94,S108,#REF!,#REF!,#REF!,#REF!,#REF!,#REF!)</f>
        <v>#REF!</v>
      </c>
      <c r="T124" s="92">
        <f>T103</f>
        <v>0</v>
      </c>
      <c r="U124" s="92">
        <f>U103</f>
        <v>0</v>
      </c>
      <c r="V124" s="23"/>
      <c r="W124" s="23"/>
      <c r="X124" s="23"/>
      <c r="Y124" s="23"/>
      <c r="Z124" s="23">
        <f t="shared" ref="Z124:AA124" si="97">Z103</f>
        <v>0</v>
      </c>
      <c r="AA124" s="23">
        <f t="shared" si="97"/>
        <v>0</v>
      </c>
      <c r="AB124" s="25" t="e">
        <f>SUM(AB24,AB38,AB52,AB66,AB80,AB94,AB108,#REF!,#REF!,#REF!,#REF!,#REF!,#REF!)</f>
        <v>#REF!</v>
      </c>
      <c r="AC124" s="92">
        <f>AC103</f>
        <v>0</v>
      </c>
      <c r="AD124" s="23">
        <f t="shared" ref="AD124:AE124" si="98">AD103</f>
        <v>0</v>
      </c>
      <c r="AE124" s="23">
        <f t="shared" si="98"/>
        <v>0</v>
      </c>
      <c r="AF124" s="25" t="e">
        <f>SUM(AF24,AF38,AF52,AF66,AF80,AF94,AF108,#REF!,#REF!,#REF!,#REF!,#REF!,#REF!)</f>
        <v>#REF!</v>
      </c>
      <c r="AG124" s="92">
        <f>AG103</f>
        <v>0</v>
      </c>
      <c r="AH124" s="23">
        <f t="shared" ref="AH124" si="99">AH103</f>
        <v>0</v>
      </c>
    </row>
    <row r="125" spans="2:34" hidden="1" outlineLevel="1" x14ac:dyDescent="0.25">
      <c r="F125" s="93"/>
      <c r="G125" s="93"/>
      <c r="H125" s="317" t="str">
        <f>H120</f>
        <v>GJ</v>
      </c>
      <c r="I125" s="93"/>
      <c r="J125" s="93"/>
      <c r="K125" s="93" t="s">
        <v>8</v>
      </c>
      <c r="L125" s="93" t="s">
        <v>38</v>
      </c>
      <c r="M125" s="93"/>
      <c r="N125" s="317" t="str">
        <f>N120</f>
        <v>kWh</v>
      </c>
      <c r="O125" s="93"/>
      <c r="P125" s="93"/>
      <c r="Q125" s="93" t="s">
        <v>8</v>
      </c>
      <c r="R125" s="93" t="s">
        <v>38</v>
      </c>
      <c r="S125" s="93"/>
      <c r="T125" s="317" t="str">
        <f>T120</f>
        <v>kWh</v>
      </c>
      <c r="U125" s="93" t="s">
        <v>39</v>
      </c>
      <c r="V125" s="93"/>
      <c r="W125" s="93"/>
      <c r="X125" s="93"/>
      <c r="Y125" s="93"/>
      <c r="Z125" s="93" t="s">
        <v>8</v>
      </c>
      <c r="AA125" s="93" t="s">
        <v>38</v>
      </c>
      <c r="AB125" s="93"/>
      <c r="AC125" s="93" t="s">
        <v>39</v>
      </c>
      <c r="AD125" s="93" t="s">
        <v>8</v>
      </c>
      <c r="AE125" s="93" t="s">
        <v>38</v>
      </c>
      <c r="AF125" s="93"/>
      <c r="AG125" s="93" t="s">
        <v>8</v>
      </c>
      <c r="AH125" s="93" t="s">
        <v>38</v>
      </c>
    </row>
    <row r="126" spans="2:34" ht="15" collapsed="1" x14ac:dyDescent="0.25">
      <c r="B126" s="22" t="s">
        <v>197</v>
      </c>
      <c r="C126" s="18"/>
      <c r="D126" s="18"/>
      <c r="E126" s="18"/>
      <c r="F126" s="95" t="s">
        <v>141</v>
      </c>
      <c r="G126" s="18"/>
      <c r="H126" s="18"/>
      <c r="I126" s="18"/>
      <c r="J126" s="18"/>
      <c r="K126" s="23">
        <f>SUM(K124,Q124,Z124,AD124,AG124)</f>
        <v>797458.06299999997</v>
      </c>
      <c r="L126" s="18" t="s">
        <v>8</v>
      </c>
      <c r="M126" s="33"/>
      <c r="N126" s="33"/>
      <c r="O126" s="33"/>
      <c r="P126" s="33"/>
      <c r="Q126" s="23">
        <f>SUM(L124,R124,AA124,AE124,AH124)</f>
        <v>964924.25622999994</v>
      </c>
      <c r="R126" s="18" t="s">
        <v>38</v>
      </c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</row>
    <row r="127" spans="2:34" x14ac:dyDescent="0.25">
      <c r="B127" s="362"/>
    </row>
    <row r="128" spans="2:34" x14ac:dyDescent="0.25">
      <c r="B128" s="362"/>
    </row>
    <row r="129" spans="2:34" ht="15" x14ac:dyDescent="0.25">
      <c r="B129" s="362"/>
      <c r="F129" s="94" t="s">
        <v>3</v>
      </c>
      <c r="G129" s="24"/>
      <c r="H129" s="92">
        <f>H119+H124</f>
        <v>2199.6</v>
      </c>
      <c r="I129" s="92"/>
      <c r="J129" s="92"/>
      <c r="K129" s="23">
        <f t="shared" ref="K129:L129" si="100">K119+K124</f>
        <v>1016589.1299999999</v>
      </c>
      <c r="L129" s="23">
        <f t="shared" si="100"/>
        <v>1169077.4994999999</v>
      </c>
      <c r="M129" s="25" t="e">
        <f>SUM(M29,M43,M57,M71,M85,M99,M113,#REF!,#REF!,#REF!,#REF!,#REF!,#REF!)</f>
        <v>#REF!</v>
      </c>
      <c r="N129" s="92">
        <f>N119+N124</f>
        <v>604218.5</v>
      </c>
      <c r="O129" s="23"/>
      <c r="P129" s="23"/>
      <c r="Q129" s="23">
        <f t="shared" ref="Q129:R129" si="101">Q119+Q124</f>
        <v>1302549.753</v>
      </c>
      <c r="R129" s="23">
        <f t="shared" si="101"/>
        <v>1576085.2011299999</v>
      </c>
      <c r="S129" s="25" t="e">
        <f>SUM(S29,S43,S57,S71,S85,S99,S113,#REF!,#REF!,#REF!,#REF!,#REF!,#REF!)</f>
        <v>#REF!</v>
      </c>
      <c r="T129" s="92">
        <f t="shared" ref="T129:U129" si="102">T119+T124</f>
        <v>536503.71</v>
      </c>
      <c r="U129" s="92">
        <f t="shared" si="102"/>
        <v>50258.670955766211</v>
      </c>
      <c r="V129" s="23"/>
      <c r="W129" s="23"/>
      <c r="X129" s="23"/>
      <c r="Y129" s="23"/>
      <c r="Z129" s="23">
        <f t="shared" ref="Z129:AA129" si="103">Z119+Z124</f>
        <v>563952.19927730667</v>
      </c>
      <c r="AA129" s="23">
        <f t="shared" si="103"/>
        <v>682382.16112554108</v>
      </c>
      <c r="AB129" s="25" t="e">
        <f>SUM(AB29,AB43,AB57,AB71,AB85,AB99,AB113,#REF!,#REF!,#REF!,#REF!,#REF!,#REF!)</f>
        <v>#REF!</v>
      </c>
      <c r="AC129" s="92">
        <f>AC119+AC124</f>
        <v>2413</v>
      </c>
      <c r="AD129" s="23">
        <f t="shared" ref="AD129:AE129" si="104">AD119+AD124</f>
        <v>204954.74</v>
      </c>
      <c r="AE129" s="23">
        <f t="shared" si="104"/>
        <v>235697.951</v>
      </c>
      <c r="AF129" s="25" t="e">
        <f>SUM(AF29,AF43,AF57,AF71,AF85,AF99,AF113,#REF!,#REF!,#REF!,#REF!,#REF!,#REF!)</f>
        <v>#REF!</v>
      </c>
      <c r="AG129" s="92">
        <f>AG119+AG124</f>
        <v>0</v>
      </c>
      <c r="AH129" s="23">
        <f t="shared" ref="AH129" si="105">AH119+AH124</f>
        <v>0</v>
      </c>
    </row>
    <row r="130" spans="2:34" x14ac:dyDescent="0.25">
      <c r="B130" s="362"/>
      <c r="F130" s="93"/>
      <c r="G130" s="93"/>
      <c r="H130" s="317" t="str">
        <f>H120</f>
        <v>GJ</v>
      </c>
      <c r="I130" s="93"/>
      <c r="J130" s="93"/>
      <c r="K130" s="93" t="s">
        <v>8</v>
      </c>
      <c r="L130" s="93" t="s">
        <v>38</v>
      </c>
      <c r="M130" s="93"/>
      <c r="N130" s="317" t="str">
        <f>N120</f>
        <v>kWh</v>
      </c>
      <c r="O130" s="93"/>
      <c r="P130" s="93"/>
      <c r="Q130" s="93" t="s">
        <v>8</v>
      </c>
      <c r="R130" s="93" t="s">
        <v>38</v>
      </c>
      <c r="S130" s="93"/>
      <c r="T130" s="317" t="str">
        <f>T120</f>
        <v>kWh</v>
      </c>
      <c r="U130" s="93" t="s">
        <v>39</v>
      </c>
      <c r="V130" s="93"/>
      <c r="W130" s="93"/>
      <c r="X130" s="93"/>
      <c r="Y130" s="93"/>
      <c r="Z130" s="93" t="s">
        <v>8</v>
      </c>
      <c r="AA130" s="93" t="s">
        <v>38</v>
      </c>
      <c r="AB130" s="93"/>
      <c r="AC130" s="93" t="s">
        <v>39</v>
      </c>
      <c r="AD130" s="93" t="s">
        <v>8</v>
      </c>
      <c r="AE130" s="93" t="s">
        <v>38</v>
      </c>
      <c r="AF130" s="93"/>
      <c r="AG130" s="93" t="s">
        <v>8</v>
      </c>
      <c r="AH130" s="93" t="s">
        <v>38</v>
      </c>
    </row>
    <row r="131" spans="2:34" ht="15" x14ac:dyDescent="0.25">
      <c r="B131" s="22" t="s">
        <v>68</v>
      </c>
      <c r="C131" s="18"/>
      <c r="D131" s="18"/>
      <c r="E131" s="18"/>
      <c r="F131" s="95" t="s">
        <v>141</v>
      </c>
      <c r="G131" s="18"/>
      <c r="H131" s="18"/>
      <c r="I131" s="18"/>
      <c r="J131" s="18"/>
      <c r="K131" s="23">
        <f>SUM(K129,Q129,Z129,AD129,AG129)</f>
        <v>3088045.8222773066</v>
      </c>
      <c r="L131" s="18" t="s">
        <v>8</v>
      </c>
      <c r="M131" s="33"/>
      <c r="N131" s="33"/>
      <c r="O131" s="33"/>
      <c r="P131" s="33"/>
      <c r="Q131" s="23">
        <f>SUM(L129,R129,AA129,AE129,AH129)</f>
        <v>3663242.8127555409</v>
      </c>
      <c r="R131" s="18" t="s">
        <v>38</v>
      </c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</row>
    <row r="135" spans="2:34" x14ac:dyDescent="0.25">
      <c r="B135" s="367"/>
      <c r="D135" s="367"/>
      <c r="E135" s="367"/>
      <c r="F135" s="367"/>
      <c r="G135" s="367"/>
      <c r="H135" s="367"/>
      <c r="I135" s="367"/>
      <c r="J135" s="367"/>
      <c r="K135" s="367"/>
      <c r="L135" s="367"/>
      <c r="M135" s="367"/>
      <c r="N135" s="367"/>
      <c r="O135" s="367"/>
      <c r="P135" s="367"/>
      <c r="Q135" s="367"/>
      <c r="R135" s="367"/>
      <c r="S135" s="367"/>
      <c r="T135" s="367"/>
      <c r="U135" s="367"/>
      <c r="V135" s="367"/>
      <c r="W135" s="367"/>
      <c r="X135" s="367"/>
      <c r="Y135" s="367"/>
      <c r="Z135" s="367"/>
      <c r="AA135" s="367"/>
      <c r="AB135" s="367"/>
      <c r="AC135" s="367"/>
      <c r="AD135" s="367"/>
      <c r="AE135" s="367"/>
      <c r="AF135" s="367"/>
      <c r="AG135" s="367"/>
      <c r="AH135" s="367"/>
    </row>
    <row r="136" spans="2:34" ht="15.75" x14ac:dyDescent="0.25">
      <c r="B136" s="367"/>
      <c r="C136" s="368" t="s">
        <v>203</v>
      </c>
      <c r="D136" s="367"/>
      <c r="E136" s="367"/>
      <c r="F136" s="367"/>
      <c r="G136" s="367"/>
      <c r="H136" s="367"/>
      <c r="I136" s="367"/>
      <c r="J136" s="367"/>
      <c r="K136" s="367"/>
      <c r="L136" s="370"/>
      <c r="M136" s="367"/>
      <c r="N136" s="367"/>
      <c r="O136" s="367"/>
      <c r="P136" s="367"/>
      <c r="Q136" s="367"/>
      <c r="R136" s="367"/>
      <c r="S136" s="367"/>
      <c r="T136" s="367"/>
      <c r="U136" s="367"/>
      <c r="V136" s="367"/>
      <c r="W136" s="367"/>
      <c r="X136" s="367"/>
      <c r="Y136" s="367"/>
      <c r="Z136" s="367"/>
      <c r="AA136" s="367"/>
      <c r="AB136" s="367"/>
      <c r="AC136" s="367"/>
      <c r="AD136" s="370"/>
      <c r="AE136" s="367"/>
      <c r="AF136" s="367"/>
      <c r="AG136" s="367"/>
      <c r="AH136" s="367"/>
    </row>
    <row r="137" spans="2:34" ht="15" x14ac:dyDescent="0.25">
      <c r="B137" s="371"/>
      <c r="C137" s="369">
        <v>2015</v>
      </c>
      <c r="D137" s="367"/>
      <c r="E137" s="367"/>
      <c r="F137" s="367"/>
      <c r="G137" s="367"/>
      <c r="H137" s="367"/>
      <c r="I137" s="367"/>
      <c r="J137" s="367"/>
      <c r="K137" s="367"/>
      <c r="L137" s="372" t="str">
        <f>H2</f>
        <v>TEPLO</v>
      </c>
      <c r="M137" s="367"/>
      <c r="N137" s="367"/>
      <c r="O137" s="367"/>
      <c r="P137" s="367"/>
      <c r="Q137" s="372" t="str">
        <f>N2</f>
        <v>ELEKTŘINA</v>
      </c>
      <c r="R137" s="367"/>
      <c r="S137" s="367"/>
      <c r="T137" s="367"/>
      <c r="U137" s="367"/>
      <c r="V137" s="367"/>
      <c r="W137" s="367"/>
      <c r="X137" s="367"/>
      <c r="Y137" s="367"/>
      <c r="Z137" s="372" t="str">
        <f>T2</f>
        <v>ZEMNÍ PLYN</v>
      </c>
      <c r="AA137" s="367"/>
      <c r="AB137" s="367"/>
      <c r="AC137" s="367"/>
      <c r="AD137" s="372" t="str">
        <f>AC2</f>
        <v>VODA</v>
      </c>
      <c r="AE137" s="367"/>
      <c r="AF137" s="367"/>
      <c r="AG137" s="372"/>
      <c r="AH137" s="367"/>
    </row>
    <row r="138" spans="2:34" ht="17.25" x14ac:dyDescent="0.25">
      <c r="B138" s="371"/>
      <c r="C138" s="371"/>
      <c r="D138" s="367"/>
      <c r="E138" s="367"/>
      <c r="F138" s="367"/>
      <c r="G138" s="367"/>
      <c r="H138" s="367"/>
      <c r="I138" s="367"/>
      <c r="J138" s="367"/>
      <c r="K138" s="367"/>
      <c r="L138" s="372" t="s">
        <v>202</v>
      </c>
      <c r="M138" s="367"/>
      <c r="N138" s="367"/>
      <c r="O138" s="367"/>
      <c r="P138" s="367"/>
      <c r="Q138" s="372" t="s">
        <v>204</v>
      </c>
      <c r="R138" s="367"/>
      <c r="S138" s="367"/>
      <c r="T138" s="367"/>
      <c r="U138" s="367"/>
      <c r="V138" s="367"/>
      <c r="W138" s="367"/>
      <c r="X138" s="367"/>
      <c r="Y138" s="367"/>
      <c r="Z138" s="372" t="s">
        <v>204</v>
      </c>
      <c r="AA138" s="367"/>
      <c r="AB138" s="367"/>
      <c r="AC138" s="367"/>
      <c r="AD138" s="372" t="s">
        <v>205</v>
      </c>
      <c r="AE138" s="367"/>
      <c r="AF138" s="367"/>
      <c r="AG138" s="372"/>
      <c r="AH138" s="367"/>
    </row>
    <row r="139" spans="2:34" ht="15" x14ac:dyDescent="0.25">
      <c r="B139" s="373">
        <f>B19</f>
        <v>1</v>
      </c>
      <c r="C139" s="374" t="str">
        <f>C19</f>
        <v>ZŠ J. Vohradského</v>
      </c>
      <c r="D139" s="375"/>
      <c r="E139" s="375"/>
      <c r="F139" s="375"/>
      <c r="G139" s="375"/>
      <c r="H139" s="382"/>
      <c r="I139" s="382"/>
      <c r="J139" s="382"/>
      <c r="K139" s="382"/>
      <c r="L139" s="383">
        <f>K19/H19</f>
        <v>462.16999999999996</v>
      </c>
      <c r="M139" s="382"/>
      <c r="N139" s="382"/>
      <c r="O139" s="382"/>
      <c r="P139" s="382"/>
      <c r="Q139" s="388">
        <f>Q19/N19</f>
        <v>3.0344930319215555</v>
      </c>
      <c r="R139" s="382"/>
      <c r="S139" s="382"/>
      <c r="T139" s="382"/>
      <c r="U139" s="382"/>
      <c r="V139" s="382"/>
      <c r="W139" s="382"/>
      <c r="X139" s="382"/>
      <c r="Y139" s="382"/>
      <c r="Z139" s="383" t="s">
        <v>33</v>
      </c>
      <c r="AA139" s="382"/>
      <c r="AB139" s="382"/>
      <c r="AC139" s="382"/>
      <c r="AD139" s="383">
        <f>AD19/AC19</f>
        <v>84.777840616966586</v>
      </c>
      <c r="AE139" s="382"/>
      <c r="AF139" s="382"/>
      <c r="AG139" s="383"/>
      <c r="AH139" s="382"/>
    </row>
    <row r="140" spans="2:34" ht="15" customHeight="1" x14ac:dyDescent="0.25">
      <c r="B140" s="376">
        <f>B33</f>
        <v>2</v>
      </c>
      <c r="C140" s="377" t="str">
        <f>C33</f>
        <v>Tělocvična ZŠ J. Vohradského</v>
      </c>
      <c r="D140" s="378"/>
      <c r="E140" s="378"/>
      <c r="F140" s="378"/>
      <c r="G140" s="378"/>
      <c r="H140" s="384"/>
      <c r="I140" s="384"/>
      <c r="J140" s="384"/>
      <c r="K140" s="384"/>
      <c r="L140" s="385">
        <f>K33/H33</f>
        <v>462.16998207885308</v>
      </c>
      <c r="M140" s="384"/>
      <c r="N140" s="384"/>
      <c r="O140" s="384"/>
      <c r="P140" s="384"/>
      <c r="Q140" s="389">
        <f>Q33/N33</f>
        <v>3.2433835966979427</v>
      </c>
      <c r="R140" s="384"/>
      <c r="S140" s="384"/>
      <c r="T140" s="384"/>
      <c r="U140" s="384"/>
      <c r="V140" s="384"/>
      <c r="W140" s="384"/>
      <c r="X140" s="384"/>
      <c r="Y140" s="384"/>
      <c r="Z140" s="385" t="s">
        <v>33</v>
      </c>
      <c r="AA140" s="384"/>
      <c r="AB140" s="384"/>
      <c r="AC140" s="384"/>
      <c r="AD140" s="385" t="s">
        <v>33</v>
      </c>
      <c r="AE140" s="384"/>
      <c r="AF140" s="384"/>
      <c r="AG140" s="385"/>
      <c r="AH140" s="384"/>
    </row>
    <row r="141" spans="2:34" ht="15" x14ac:dyDescent="0.25">
      <c r="B141" s="376">
        <f>B47</f>
        <v>3</v>
      </c>
      <c r="C141" s="377" t="str">
        <f>C47</f>
        <v>Jídelna ZŠ J. Vohradského</v>
      </c>
      <c r="D141" s="378"/>
      <c r="E141" s="378"/>
      <c r="F141" s="378"/>
      <c r="G141" s="378"/>
      <c r="H141" s="384"/>
      <c r="I141" s="384"/>
      <c r="J141" s="384"/>
      <c r="K141" s="384"/>
      <c r="L141" s="385">
        <f>K47/H47</f>
        <v>462.17000448028676</v>
      </c>
      <c r="M141" s="384"/>
      <c r="N141" s="384"/>
      <c r="O141" s="384"/>
      <c r="P141" s="384"/>
      <c r="Q141" s="389">
        <f>Q47/N47</f>
        <v>3.1858545875827207</v>
      </c>
      <c r="R141" s="384"/>
      <c r="S141" s="384"/>
      <c r="T141" s="384"/>
      <c r="U141" s="384"/>
      <c r="V141" s="384"/>
      <c r="W141" s="384"/>
      <c r="X141" s="384"/>
      <c r="Y141" s="384"/>
      <c r="Z141" s="385" t="s">
        <v>33</v>
      </c>
      <c r="AA141" s="384"/>
      <c r="AB141" s="384"/>
      <c r="AC141" s="384"/>
      <c r="AD141" s="385">
        <f>AD47/AC47</f>
        <v>84.825394045534154</v>
      </c>
      <c r="AE141" s="384"/>
      <c r="AF141" s="384"/>
      <c r="AG141" s="385"/>
      <c r="AH141" s="384"/>
    </row>
    <row r="142" spans="2:34" ht="15" x14ac:dyDescent="0.25">
      <c r="B142" s="376">
        <f>B61</f>
        <v>4</v>
      </c>
      <c r="C142" s="377" t="str">
        <f>C61</f>
        <v>ZŠ Žižkova</v>
      </c>
      <c r="D142" s="378"/>
      <c r="E142" s="378"/>
      <c r="F142" s="378"/>
      <c r="G142" s="378"/>
      <c r="H142" s="384"/>
      <c r="I142" s="384"/>
      <c r="J142" s="384"/>
      <c r="K142" s="384"/>
      <c r="L142" s="385" t="s">
        <v>33</v>
      </c>
      <c r="M142" s="384"/>
      <c r="N142" s="384"/>
      <c r="O142" s="384"/>
      <c r="P142" s="384"/>
      <c r="Q142" s="389">
        <f>Q61/N61</f>
        <v>3.1998883671480463</v>
      </c>
      <c r="R142" s="384"/>
      <c r="S142" s="384"/>
      <c r="T142" s="384"/>
      <c r="U142" s="384"/>
      <c r="V142" s="384"/>
      <c r="W142" s="384"/>
      <c r="X142" s="384"/>
      <c r="Y142" s="384"/>
      <c r="Z142" s="391">
        <f>Z61/T61</f>
        <v>1.1730952184533643</v>
      </c>
      <c r="AA142" s="384"/>
      <c r="AB142" s="384"/>
      <c r="AC142" s="384"/>
      <c r="AD142" s="385">
        <f>AD61/AC61</f>
        <v>84.804386617100377</v>
      </c>
      <c r="AE142" s="384"/>
      <c r="AF142" s="384"/>
      <c r="AG142" s="385"/>
      <c r="AH142" s="384"/>
    </row>
    <row r="143" spans="2:34" ht="15" x14ac:dyDescent="0.25">
      <c r="B143" s="376">
        <f>B75</f>
        <v>5</v>
      </c>
      <c r="C143" s="377" t="str">
        <f>C75</f>
        <v>MŠ Svojsíkova 352</v>
      </c>
      <c r="D143" s="378"/>
      <c r="E143" s="378"/>
      <c r="F143" s="378"/>
      <c r="G143" s="378"/>
      <c r="H143" s="384"/>
      <c r="I143" s="384"/>
      <c r="J143" s="384"/>
      <c r="K143" s="384"/>
      <c r="L143" s="385" t="s">
        <v>33</v>
      </c>
      <c r="M143" s="384"/>
      <c r="N143" s="384"/>
      <c r="O143" s="384"/>
      <c r="P143" s="384"/>
      <c r="Q143" s="389">
        <f>Q75/N75</f>
        <v>3.2186955776482686</v>
      </c>
      <c r="R143" s="384"/>
      <c r="S143" s="384"/>
      <c r="T143" s="384"/>
      <c r="U143" s="384"/>
      <c r="V143" s="384"/>
      <c r="W143" s="384"/>
      <c r="X143" s="384"/>
      <c r="Y143" s="384"/>
      <c r="Z143" s="391">
        <f>Z75/T75</f>
        <v>0.87958540693050224</v>
      </c>
      <c r="AA143" s="384"/>
      <c r="AB143" s="384"/>
      <c r="AC143" s="384"/>
      <c r="AD143" s="385">
        <f>AD75/AC75</f>
        <v>85.220000000000013</v>
      </c>
      <c r="AE143" s="384"/>
      <c r="AF143" s="384"/>
      <c r="AG143" s="385"/>
      <c r="AH143" s="384"/>
    </row>
    <row r="144" spans="2:34" ht="15" x14ac:dyDescent="0.25">
      <c r="B144" s="376">
        <f>B89</f>
        <v>6</v>
      </c>
      <c r="C144" s="377" t="str">
        <f>C89</f>
        <v>MŠ Svojsíkova 355</v>
      </c>
      <c r="D144" s="378"/>
      <c r="E144" s="378"/>
      <c r="F144" s="378"/>
      <c r="G144" s="378"/>
      <c r="H144" s="384"/>
      <c r="I144" s="384"/>
      <c r="J144" s="384"/>
      <c r="K144" s="384"/>
      <c r="L144" s="385" t="s">
        <v>33</v>
      </c>
      <c r="M144" s="384"/>
      <c r="N144" s="384"/>
      <c r="O144" s="384"/>
      <c r="P144" s="384"/>
      <c r="Q144" s="389">
        <f>Q89/N89</f>
        <v>4.0973062140743517</v>
      </c>
      <c r="R144" s="384"/>
      <c r="S144" s="384"/>
      <c r="T144" s="384"/>
      <c r="U144" s="384"/>
      <c r="V144" s="384"/>
      <c r="W144" s="384"/>
      <c r="X144" s="384"/>
      <c r="Y144" s="384"/>
      <c r="Z144" s="391">
        <f>Z89/T89</f>
        <v>0.86747306976805683</v>
      </c>
      <c r="AA144" s="384"/>
      <c r="AB144" s="384"/>
      <c r="AC144" s="384"/>
      <c r="AD144" s="385">
        <f>AD89/AC89</f>
        <v>85.22</v>
      </c>
      <c r="AE144" s="384"/>
      <c r="AF144" s="384"/>
      <c r="AG144" s="385"/>
      <c r="AH144" s="384"/>
    </row>
    <row r="145" spans="2:34" ht="15" x14ac:dyDescent="0.25">
      <c r="B145" s="379">
        <f>B103</f>
        <v>7</v>
      </c>
      <c r="C145" s="380" t="str">
        <f>C103</f>
        <v>Veřejné osvětlení</v>
      </c>
      <c r="D145" s="381"/>
      <c r="E145" s="381"/>
      <c r="F145" s="381"/>
      <c r="G145" s="381"/>
      <c r="H145" s="386"/>
      <c r="I145" s="386"/>
      <c r="J145" s="386"/>
      <c r="K145" s="386"/>
      <c r="L145" s="387" t="s">
        <v>33</v>
      </c>
      <c r="M145" s="386"/>
      <c r="N145" s="386"/>
      <c r="O145" s="386"/>
      <c r="P145" s="386"/>
      <c r="Q145" s="390">
        <f>Q103/N103</f>
        <v>1.7925042252501713</v>
      </c>
      <c r="R145" s="386"/>
      <c r="S145" s="386"/>
      <c r="T145" s="386"/>
      <c r="U145" s="386"/>
      <c r="V145" s="386"/>
      <c r="W145" s="386"/>
      <c r="X145" s="386"/>
      <c r="Y145" s="386"/>
      <c r="Z145" s="387" t="s">
        <v>33</v>
      </c>
      <c r="AA145" s="386"/>
      <c r="AB145" s="386"/>
      <c r="AC145" s="386"/>
      <c r="AD145" s="387" t="s">
        <v>33</v>
      </c>
      <c r="AE145" s="386"/>
      <c r="AF145" s="386"/>
      <c r="AG145" s="387"/>
      <c r="AH145" s="386"/>
    </row>
    <row r="147" spans="2:34" x14ac:dyDescent="0.25">
      <c r="L147" s="20"/>
    </row>
    <row r="148" spans="2:34" x14ac:dyDescent="0.25">
      <c r="B148" s="41"/>
    </row>
    <row r="149" spans="2:34" x14ac:dyDescent="0.25">
      <c r="B149" s="89"/>
    </row>
    <row r="150" spans="2:34" x14ac:dyDescent="0.25">
      <c r="B150" s="89"/>
    </row>
    <row r="151" spans="2:34" x14ac:dyDescent="0.25">
      <c r="B151" s="329"/>
      <c r="K151" s="363"/>
      <c r="L151" s="20"/>
      <c r="N151" s="20"/>
      <c r="Q151" s="20"/>
      <c r="T151" s="20"/>
      <c r="U151" s="20"/>
    </row>
    <row r="152" spans="2:34" x14ac:dyDescent="0.25">
      <c r="K152" s="363"/>
      <c r="L152" s="20"/>
      <c r="N152" s="20"/>
      <c r="Q152" s="20"/>
      <c r="T152" s="20"/>
      <c r="U152" s="20"/>
    </row>
    <row r="153" spans="2:34" x14ac:dyDescent="0.25">
      <c r="K153" s="363"/>
      <c r="L153" s="20"/>
      <c r="N153" s="20"/>
      <c r="Q153" s="20"/>
      <c r="T153" s="20"/>
      <c r="U153" s="20"/>
    </row>
    <row r="154" spans="2:34" x14ac:dyDescent="0.25">
      <c r="K154" s="363"/>
      <c r="L154" s="20"/>
      <c r="N154" s="20"/>
      <c r="Q154" s="20"/>
      <c r="T154" s="20"/>
      <c r="U154" s="20"/>
    </row>
    <row r="155" spans="2:34" x14ac:dyDescent="0.25">
      <c r="K155" s="363"/>
      <c r="L155" s="20"/>
      <c r="N155" s="20"/>
      <c r="Q155" s="20"/>
      <c r="T155" s="20"/>
      <c r="U155" s="20"/>
    </row>
    <row r="156" spans="2:34" x14ac:dyDescent="0.25">
      <c r="K156" s="363"/>
      <c r="L156" s="20"/>
      <c r="N156" s="20"/>
      <c r="Q156" s="20"/>
      <c r="T156" s="20"/>
      <c r="U156" s="20"/>
    </row>
    <row r="157" spans="2:34" x14ac:dyDescent="0.25">
      <c r="K157" s="363"/>
      <c r="L157" s="20"/>
      <c r="N157" s="20"/>
      <c r="Q157" s="20"/>
      <c r="T157" s="20"/>
      <c r="U157" s="20"/>
    </row>
    <row r="158" spans="2:34" x14ac:dyDescent="0.25">
      <c r="L158" s="20"/>
      <c r="N158" s="20"/>
      <c r="Q158" s="20"/>
      <c r="T158" s="20"/>
      <c r="U158" s="20"/>
    </row>
    <row r="160" spans="2:34" x14ac:dyDescent="0.25">
      <c r="L160" s="361"/>
      <c r="M160" s="361"/>
      <c r="N160" s="361"/>
      <c r="Q160" s="361"/>
    </row>
    <row r="162" spans="3:17" x14ac:dyDescent="0.25">
      <c r="Q162" s="20"/>
    </row>
    <row r="164" spans="3:17" x14ac:dyDescent="0.25">
      <c r="Q164" s="20"/>
    </row>
    <row r="165" spans="3:17" ht="15" x14ac:dyDescent="0.25">
      <c r="C165" s="256"/>
      <c r="D165" s="365"/>
      <c r="E165" s="256"/>
      <c r="Q165" s="20"/>
    </row>
    <row r="166" spans="3:17" ht="15" x14ac:dyDescent="0.25">
      <c r="C166" s="256"/>
      <c r="D166" s="365"/>
      <c r="E166" s="256"/>
    </row>
    <row r="167" spans="3:17" ht="15" x14ac:dyDescent="0.25">
      <c r="C167" s="256"/>
      <c r="D167" s="366"/>
      <c r="E167" s="256"/>
    </row>
    <row r="168" spans="3:17" ht="15" x14ac:dyDescent="0.25">
      <c r="C168" s="256"/>
      <c r="D168" s="256"/>
      <c r="E168" s="256"/>
    </row>
    <row r="169" spans="3:17" ht="15" x14ac:dyDescent="0.25">
      <c r="C169" s="256"/>
      <c r="D169" s="256"/>
      <c r="E169" s="256"/>
    </row>
    <row r="170" spans="3:17" ht="15" x14ac:dyDescent="0.25">
      <c r="C170" s="256"/>
      <c r="D170" s="365"/>
      <c r="E170" s="256"/>
    </row>
    <row r="171" spans="3:17" ht="15" x14ac:dyDescent="0.25">
      <c r="C171" s="256"/>
      <c r="D171" s="365"/>
      <c r="E171" s="256"/>
    </row>
    <row r="172" spans="3:17" ht="15" x14ac:dyDescent="0.25">
      <c r="C172" s="256"/>
      <c r="D172" s="365"/>
      <c r="E172" s="256"/>
    </row>
  </sheetData>
  <mergeCells count="14">
    <mergeCell ref="AG2:AH2"/>
    <mergeCell ref="AG3:AH3"/>
    <mergeCell ref="T3:U3"/>
    <mergeCell ref="X3:Y3"/>
    <mergeCell ref="V3:W3"/>
    <mergeCell ref="T2:AA2"/>
    <mergeCell ref="AC2:AE2"/>
    <mergeCell ref="AD3:AE3"/>
    <mergeCell ref="Z3:AA3"/>
    <mergeCell ref="Q3:R3"/>
    <mergeCell ref="K3:L3"/>
    <mergeCell ref="H2:L2"/>
    <mergeCell ref="F2:F4"/>
    <mergeCell ref="N2:R2"/>
  </mergeCells>
  <conditionalFormatting sqref="H19:AH19 H33:AH33 H47:AH47 H61:AH61 H75:AH75 H89:AH89 H103:AH103">
    <cfRule type="cellIs" dxfId="3" priority="5" operator="equal">
      <formula>0</formula>
    </cfRule>
  </conditionalFormatting>
  <conditionalFormatting sqref="H119:AH119">
    <cfRule type="cellIs" dxfId="2" priority="4" operator="equal">
      <formula>0</formula>
    </cfRule>
  </conditionalFormatting>
  <conditionalFormatting sqref="H124:AH124">
    <cfRule type="cellIs" dxfId="1" priority="2" operator="equal">
      <formula>0</formula>
    </cfRule>
  </conditionalFormatting>
  <conditionalFormatting sqref="H129:AH129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scale="67" orientation="landscape" r:id="rId1"/>
  <ignoredErrors>
    <ignoredError sqref="M119 S119 AB119 AF119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Klimadata</vt:lpstr>
      <vt:lpstr>01 ZŠ J. Vohradského</vt:lpstr>
      <vt:lpstr>02 Tělocvična ZŠ</vt:lpstr>
      <vt:lpstr>03 Jídelna ZŠ</vt:lpstr>
      <vt:lpstr>04 ZŠ Žižkova</vt:lpstr>
      <vt:lpstr>05 MŠ Svojsíkova 352</vt:lpstr>
      <vt:lpstr>06 MŠ Svojsíkova 355</vt:lpstr>
      <vt:lpstr>07 VO</vt:lpstr>
      <vt:lpstr>REFERENČNÍ SPOTŘEBY</vt:lpstr>
      <vt:lpstr>Investice a úspory</vt:lpstr>
      <vt:lpstr>Modelová nabídka</vt:lpstr>
      <vt:lpstr>Cenová příloha (dok. 5e ZD) </vt:lpstr>
      <vt:lpstr>Hodnocení nabídek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Kristína Šislingová</dc:creator>
  <cp:lastModifiedBy>Lucie</cp:lastModifiedBy>
  <cp:lastPrinted>2017-01-05T11:00:09Z</cp:lastPrinted>
  <dcterms:created xsi:type="dcterms:W3CDTF">2015-11-02T08:48:42Z</dcterms:created>
  <dcterms:modified xsi:type="dcterms:W3CDTF">2017-05-29T10:54:05Z</dcterms:modified>
</cp:coreProperties>
</file>